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ummary" sheetId="2" state="visible" r:id="rId2"/>
    <sheet xmlns:r="http://schemas.openxmlformats.org/officeDocument/2006/relationships" name="By month" sheetId="3" state="visible" r:id="rId3"/>
    <sheet xmlns:r="http://schemas.openxmlformats.org/officeDocument/2006/relationships" name="By product" sheetId="4" state="visible" r:id="rId4"/>
    <sheet xmlns:r="http://schemas.openxmlformats.org/officeDocument/2006/relationships" name="Clean data" sheetId="5" state="visible" r:id="rId5"/>
    <sheet xmlns:r="http://schemas.openxmlformats.org/officeDocument/2006/relationships" name="Rejected rows" sheetId="6" state="visible" r:id="rId6"/>
  </sheets>
  <definedNames>
    <definedName name="_xlnm._FilterDatabase" localSheetId="4" hidden="1">'Clean data'!$A$1:$V$382</definedName>
    <definedName name="_xlnm.Print_Titles" localSheetId="4">'Clean data'!$1:$1</definedName>
    <definedName name="_xlnm._FilterDatabase" localSheetId="5" hidden="1">'Rejected rows'!$A$4:$J$23</definedName>
  </definedNames>
  <calcPr calcId="124519" fullCalcOnLoad="1"/>
</workbook>
</file>

<file path=xl/styles.xml><?xml version="1.0" encoding="utf-8"?>
<styleSheet xmlns="http://schemas.openxmlformats.org/spreadsheetml/2006/main">
  <numFmts count="4">
    <numFmt numFmtId="164" formatCode="&quot;$&quot;#,##0.00"/>
    <numFmt numFmtId="165" formatCode="&quot;$&quot;#,##0"/>
    <numFmt numFmtId="166" formatCode="0.0%"/>
    <numFmt numFmtId="167" formatCode="yyyy-mm-dd"/>
  </numFmts>
  <fonts count="13">
    <font>
      <name val="Calibri"/>
      <family val="2"/>
      <color theme="1"/>
      <sz val="11"/>
      <scheme val="minor"/>
    </font>
    <font>
      <name val="Calibri"/>
      <b val="1"/>
      <color rgb="0000272C"/>
      <sz val="20"/>
    </font>
    <font>
      <name val="Calibri"/>
      <b val="1"/>
      <color rgb="00245D63"/>
      <sz val="13"/>
    </font>
    <font>
      <name val="Consolas"/>
      <b val="1"/>
      <color rgb="00476467"/>
      <sz val="9"/>
    </font>
    <font>
      <name val="Calibri"/>
      <color rgb="0000272C"/>
      <sz val="11"/>
    </font>
    <font>
      <name val="Calibri"/>
      <color rgb="00476467"/>
      <sz val="10"/>
    </font>
    <font>
      <name val="Calibri"/>
      <b val="1"/>
      <color rgb="00FFFFFF"/>
      <sz val="10"/>
    </font>
    <font>
      <name val="Calibri"/>
      <color rgb="0000272C"/>
      <sz val="10"/>
    </font>
    <font>
      <name val="Consolas"/>
      <color rgb="0000272C"/>
      <sz val="10"/>
    </font>
    <font>
      <name val="Calibri"/>
      <color rgb="00476467"/>
      <sz val="11"/>
    </font>
    <font>
      <name val="Calibri"/>
      <b val="1"/>
      <color rgb="0000272C"/>
      <sz val="16"/>
    </font>
    <font>
      <name val="Calibri"/>
      <b val="1"/>
      <color rgb="00FF6B1C"/>
      <sz val="16"/>
    </font>
    <font>
      <name val="Calibri"/>
      <b val="1"/>
      <color rgb="0000272C"/>
      <sz val="11"/>
    </font>
  </fonts>
  <fills count="4">
    <fill>
      <patternFill/>
    </fill>
    <fill>
      <patternFill patternType="gray125"/>
    </fill>
    <fill>
      <patternFill patternType="solid">
        <fgColor rgb="0000272C"/>
      </patternFill>
    </fill>
    <fill>
      <patternFill patternType="solid">
        <fgColor rgb="00EDF3F3"/>
      </patternFill>
    </fill>
  </fills>
  <borders count="5">
    <border>
      <left/>
      <right/>
      <top/>
      <bottom/>
      <diagonal/>
    </border>
    <border/>
    <border>
      <bottom style="medium">
        <color rgb="0000272C"/>
      </bottom>
    </border>
    <border>
      <bottom style="thin">
        <color rgb="00DEE3E4"/>
      </bottom>
    </border>
    <border>
      <top style="medium">
        <color rgb="0000272C"/>
      </top>
    </border>
  </borders>
  <cellStyleXfs count="25">
    <xf numFmtId="0" fontId="0" fillId="0" borderId="0"/>
    <xf numFmtId="0" fontId="1" fillId="0" borderId="1" applyAlignment="1">
      <alignment horizontal="left" vertical="top"/>
    </xf>
    <xf numFmtId="0" fontId="2" fillId="0" borderId="1" applyAlignment="1">
      <alignment horizontal="left" vertical="top"/>
    </xf>
    <xf numFmtId="0" fontId="3" fillId="0" borderId="1" applyAlignment="1">
      <alignment horizontal="left" vertical="top"/>
    </xf>
    <xf numFmtId="0" fontId="4" fillId="0" borderId="1" applyAlignment="1">
      <alignment horizontal="left" vertical="top"/>
    </xf>
    <xf numFmtId="0" fontId="4" fillId="0" borderId="1" applyAlignment="1">
      <alignment horizontal="left" vertical="top" wrapText="1"/>
    </xf>
    <xf numFmtId="0" fontId="5" fillId="0" borderId="1" applyAlignment="1">
      <alignment horizontal="left" vertical="top" wrapText="1"/>
    </xf>
    <xf numFmtId="0" fontId="6" fillId="2" borderId="2" applyAlignment="1">
      <alignment horizontal="left" vertical="center" wrapText="1"/>
    </xf>
    <xf numFmtId="0" fontId="6" fillId="2" borderId="2" applyAlignment="1">
      <alignment horizontal="right" vertical="center" wrapText="1"/>
    </xf>
    <xf numFmtId="0" fontId="4" fillId="0" borderId="3" applyAlignment="1">
      <alignment horizontal="left" vertical="top"/>
    </xf>
    <xf numFmtId="0" fontId="7" fillId="0" borderId="3" applyAlignment="1">
      <alignment horizontal="left" vertical="top" wrapText="1"/>
    </xf>
    <xf numFmtId="0" fontId="8" fillId="0" borderId="3" applyAlignment="1">
      <alignment horizontal="left" vertical="top"/>
    </xf>
    <xf numFmtId="3" fontId="4" fillId="0" borderId="3" applyAlignment="1">
      <alignment horizontal="right" vertical="center"/>
    </xf>
    <xf numFmtId="164" fontId="4" fillId="0" borderId="3" applyAlignment="1">
      <alignment horizontal="right" vertical="center"/>
    </xf>
    <xf numFmtId="165" fontId="4" fillId="0" borderId="3" applyAlignment="1">
      <alignment horizontal="right" vertical="center"/>
    </xf>
    <xf numFmtId="166" fontId="4" fillId="0" borderId="3" applyAlignment="1">
      <alignment horizontal="right" vertical="center"/>
    </xf>
    <xf numFmtId="167" fontId="4" fillId="0" borderId="3" applyAlignment="1">
      <alignment horizontal="right" vertical="center"/>
    </xf>
    <xf numFmtId="0" fontId="9" fillId="0" borderId="1" applyAlignment="1">
      <alignment horizontal="left" vertical="top"/>
    </xf>
    <xf numFmtId="165" fontId="10" fillId="0" borderId="1" applyAlignment="1">
      <alignment horizontal="right" vertical="center"/>
    </xf>
    <xf numFmtId="3" fontId="10" fillId="0" borderId="1" applyAlignment="1">
      <alignment horizontal="right" vertical="center"/>
    </xf>
    <xf numFmtId="166" fontId="11" fillId="0" borderId="1" applyAlignment="1">
      <alignment horizontal="right" vertical="center"/>
    </xf>
    <xf numFmtId="0" fontId="12" fillId="3" borderId="4" applyAlignment="1">
      <alignment horizontal="left" vertical="top"/>
    </xf>
    <xf numFmtId="3" fontId="12" fillId="3" borderId="4" applyAlignment="1">
      <alignment horizontal="right" vertical="center"/>
    </xf>
    <xf numFmtId="164" fontId="12" fillId="3" borderId="4" applyAlignment="1">
      <alignment horizontal="right" vertical="center"/>
    </xf>
    <xf numFmtId="166" fontId="12" fillId="3" borderId="4" applyAlignment="1">
      <alignment horizontal="right" vertical="center"/>
    </xf>
  </cellStyleXfs>
  <cellXfs count="24">
    <xf numFmtId="0" fontId="0" fillId="0" borderId="0" pivotButton="0" quotePrefix="0" xfId="0"/>
    <xf numFmtId="0" fontId="1" fillId="0" borderId="1" applyAlignment="1" pivotButton="0" quotePrefix="0" xfId="1">
      <alignment horizontal="left" vertical="top"/>
    </xf>
    <xf numFmtId="0" fontId="2" fillId="0" borderId="1" applyAlignment="1" pivotButton="0" quotePrefix="0" xfId="2">
      <alignment horizontal="left" vertical="top"/>
    </xf>
    <xf numFmtId="0" fontId="4" fillId="0" borderId="1" applyAlignment="1" pivotButton="0" quotePrefix="0" xfId="4">
      <alignment horizontal="left" vertical="top"/>
    </xf>
    <xf numFmtId="0" fontId="3" fillId="0" borderId="1" applyAlignment="1" pivotButton="0" quotePrefix="0" xfId="3">
      <alignment horizontal="left" vertical="top"/>
    </xf>
    <xf numFmtId="0" fontId="6" fillId="2" borderId="2" applyAlignment="1" pivotButton="0" quotePrefix="0" xfId="7">
      <alignment horizontal="left" vertical="center" wrapText="1"/>
    </xf>
    <xf numFmtId="0" fontId="6" fillId="2" borderId="2" applyAlignment="1" pivotButton="0" quotePrefix="0" xfId="8">
      <alignment horizontal="right" vertical="center" wrapText="1"/>
    </xf>
    <xf numFmtId="0" fontId="8" fillId="0" borderId="3" applyAlignment="1" pivotButton="0" quotePrefix="0" xfId="11">
      <alignment horizontal="left" vertical="top"/>
    </xf>
    <xf numFmtId="0" fontId="7" fillId="0" borderId="3" applyAlignment="1" pivotButton="0" quotePrefix="0" xfId="10">
      <alignment horizontal="left" vertical="top" wrapText="1"/>
    </xf>
    <xf numFmtId="0" fontId="4" fillId="0" borderId="3" applyAlignment="1" pivotButton="0" quotePrefix="0" xfId="9">
      <alignment horizontal="left" vertical="top"/>
    </xf>
    <xf numFmtId="3" fontId="4" fillId="0" borderId="3" applyAlignment="1" pivotButton="0" quotePrefix="0" xfId="12">
      <alignment horizontal="right" vertical="center"/>
    </xf>
    <xf numFmtId="0" fontId="5" fillId="0" borderId="1" applyAlignment="1" pivotButton="0" quotePrefix="0" xfId="6">
      <alignment horizontal="left" vertical="top" wrapText="1"/>
    </xf>
    <xf numFmtId="0" fontId="9" fillId="0" borderId="1" applyAlignment="1" pivotButton="0" quotePrefix="0" xfId="17">
      <alignment horizontal="left" vertical="top"/>
    </xf>
    <xf numFmtId="3" fontId="10" fillId="0" borderId="1" applyAlignment="1" pivotButton="0" quotePrefix="0" xfId="19">
      <alignment horizontal="right" vertical="center"/>
    </xf>
    <xf numFmtId="165" fontId="10" fillId="0" borderId="1" applyAlignment="1" pivotButton="0" quotePrefix="0" xfId="18">
      <alignment horizontal="right" vertical="center"/>
    </xf>
    <xf numFmtId="166" fontId="11" fillId="0" borderId="1" applyAlignment="1" pivotButton="0" quotePrefix="0" xfId="20">
      <alignment horizontal="right" vertical="center"/>
    </xf>
    <xf numFmtId="164" fontId="4" fillId="0" borderId="3" applyAlignment="1" pivotButton="0" quotePrefix="0" xfId="13">
      <alignment horizontal="right" vertical="center"/>
    </xf>
    <xf numFmtId="165" fontId="4" fillId="0" borderId="3" applyAlignment="1" pivotButton="0" quotePrefix="0" xfId="14">
      <alignment horizontal="right" vertical="center"/>
    </xf>
    <xf numFmtId="166" fontId="4" fillId="0" borderId="3" applyAlignment="1" pivotButton="0" quotePrefix="0" xfId="15">
      <alignment horizontal="right" vertical="center"/>
    </xf>
    <xf numFmtId="0" fontId="12" fillId="3" borderId="4" applyAlignment="1" pivotButton="0" quotePrefix="0" xfId="21">
      <alignment horizontal="left" vertical="top"/>
    </xf>
    <xf numFmtId="3" fontId="12" fillId="3" borderId="4" applyAlignment="1" pivotButton="0" quotePrefix="0" xfId="22">
      <alignment horizontal="right" vertical="center"/>
    </xf>
    <xf numFmtId="164" fontId="12" fillId="3" borderId="4" applyAlignment="1" pivotButton="0" quotePrefix="0" xfId="23">
      <alignment horizontal="right" vertical="center"/>
    </xf>
    <xf numFmtId="166" fontId="12" fillId="3" borderId="4" applyAlignment="1" pivotButton="0" quotePrefix="0" xfId="24">
      <alignment horizontal="right" vertical="center"/>
    </xf>
    <xf numFmtId="167" fontId="4" fillId="0" borderId="3" applyAlignment="1" pivotButton="0" quotePrefix="0" xfId="16">
      <alignment horizontal="right" vertical="center"/>
    </xf>
  </cellXfs>
  <cellStyles count="25">
    <cellStyle name="Normal" xfId="0" builtinId="0" hidden="0"/>
    <cellStyle name="apexH1" xfId="1" hidden="0"/>
    <cellStyle name="apexH2" xfId="2" hidden="0"/>
    <cellStyle name="apexLabel" xfId="3" hidden="0"/>
    <cellStyle name="apexBody" xfId="4" hidden="0"/>
    <cellStyle name="apexWrap" xfId="5" hidden="0"/>
    <cellStyle name="apexMuted" xfId="6" hidden="0"/>
    <cellStyle name="apexTh" xfId="7" hidden="0"/>
    <cellStyle name="apexThR" xfId="8" hidden="0"/>
    <cellStyle name="apexTxt" xfId="9" hidden="0"/>
    <cellStyle name="apexTxtW" xfId="10" hidden="0"/>
    <cellStyle name="apexMono" xfId="11" hidden="0"/>
    <cellStyle name="apexInt" xfId="12" hidden="0"/>
    <cellStyle name="apexMoney" xfId="13" hidden="0"/>
    <cellStyle name="apexMoney0" xfId="14" hidden="0"/>
    <cellStyle name="apexPct" xfId="15" hidden="0"/>
    <cellStyle name="apexDate" xfId="16" hidden="0"/>
    <cellStyle name="apexKpiL" xfId="17" hidden="0"/>
    <cellStyle name="apexKpiV" xfId="18" hidden="0"/>
    <cellStyle name="apexKpiN" xfId="19" hidden="0"/>
    <cellStyle name="apexKpiP" xfId="20" hidden="0"/>
    <cellStyle name="apexTotL" xfId="21" hidden="0"/>
    <cellStyle name="apexTotI" xfId="22" hidden="0"/>
    <cellStyle name="apexTotM" xfId="23" hidden="0"/>
    <cellStyle name="apexTotP" xfId="24" hidden="0"/>
  </cellStyles>
  <dxfs count="1">
    <dxf>
      <font>
        <name val="Calibri"/>
        <b val="1"/>
        <color rgb="00B03A00"/>
        <sz val="1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Net revenue and gross margin by month</a:t>
            </a:r>
          </a:p>
        </rich>
      </tx>
    </title>
    <plotArea>
      <lineChart>
        <grouping val="standard"/>
        <ser>
          <idx val="0"/>
          <order val="0"/>
          <tx>
            <strRef>
              <f>'By month'!F4</f>
            </strRef>
          </tx>
          <spPr>
            <a:ln xmlns:a="http://schemas.openxmlformats.org/drawingml/2006/main" w="28000">
              <a:solidFill>
                <a:srgbClr val="245D63"/>
              </a:solidFill>
              <a:prstDash val="solid"/>
            </a:ln>
          </spPr>
          <marker>
            <symbol val="circle"/>
            <size val="7"/>
            <spPr>
              <a:ln xmlns:a="http://schemas.openxmlformats.org/drawingml/2006/main">
                <a:prstDash val="solid"/>
              </a:ln>
            </spPr>
          </marker>
          <cat>
            <numRef>
              <f>'By month'!$A$5:$A$7</f>
            </numRef>
          </cat>
          <val>
            <numRef>
              <f>'By month'!$F$5:$F$7</f>
            </numRef>
          </val>
          <smooth val="0"/>
        </ser>
        <ser>
          <idx val="1"/>
          <order val="1"/>
          <tx>
            <strRef>
              <f>'By month'!H4</f>
            </strRef>
          </tx>
          <spPr>
            <a:ln xmlns:a="http://schemas.openxmlformats.org/drawingml/2006/main" w="28000">
              <a:solidFill>
                <a:srgbClr val="FF6B1C"/>
              </a:solidFill>
              <a:prstDash val="solid"/>
            </a:ln>
          </spPr>
          <marker>
            <symbol val="circle"/>
            <size val="7"/>
            <spPr>
              <a:ln xmlns:a="http://schemas.openxmlformats.org/drawingml/2006/main">
                <a:prstDash val="solid"/>
              </a:ln>
            </spPr>
          </marker>
          <cat>
            <numRef>
              <f>'By month'!$A$5:$A$7</f>
            </numRef>
          </cat>
          <val>
            <numRef>
              <f>'By month'!$H$5:$H$7</f>
            </numRef>
          </val>
          <smooth val="0"/>
        </ser>
        <axId val="10"/>
        <axId val="100"/>
      </line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Dollars</a:t>
                </a:r>
              </a:p>
            </rich>
          </tx>
        </title>
        <numFmt formatCode="&quot;$&quot;#,##0" sourceLinked="0"/>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Net revenue by product</a:t>
            </a:r>
          </a:p>
        </rich>
      </tx>
    </title>
    <plotArea>
      <barChart>
        <barDir val="col"/>
        <grouping val="clustered"/>
        <ser>
          <idx val="0"/>
          <order val="0"/>
          <tx>
            <strRef>
              <f>'By product'!F4</f>
            </strRef>
          </tx>
          <spPr>
            <a:solidFill xmlns:a="http://schemas.openxmlformats.org/drawingml/2006/main">
              <a:srgbClr val="245D63"/>
            </a:solidFill>
            <a:ln xmlns:a="http://schemas.openxmlformats.org/drawingml/2006/main">
              <a:solidFill>
                <a:srgbClr val="245D63"/>
              </a:solidFill>
              <a:prstDash val="solid"/>
            </a:ln>
          </spPr>
          <cat>
            <numRef>
              <f>'By product'!$A$5:$A$10</f>
            </numRef>
          </cat>
          <val>
            <numRef>
              <f>'By product'!$F$5:$F$10</f>
            </numRef>
          </val>
        </ser>
        <gapWidth val="55"/>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Net revenue</a:t>
                </a:r>
              </a:p>
            </rich>
          </tx>
        </title>
        <numFmt formatCode="&quot;$&quot;#,##0" sourceLinked="0"/>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2.xml.rels><Relationships xmlns="http://schemas.openxmlformats.org/package/2006/relationships"><Relationship Type="http://schemas.openxmlformats.org/officeDocument/2006/relationships/chart" Target="/xl/charts/chart2.xml" Id="rId1"/></Relationships>
</file>

<file path=xl/drawings/drawing1.xml><?xml version="1.0" encoding="utf-8"?>
<wsDr xmlns="http://schemas.openxmlformats.org/drawingml/2006/spreadsheetDrawing">
  <oneCellAnchor>
    <from>
      <col>0</col>
      <colOff>0</colOff>
      <row>10</row>
      <rowOff>0</rowOff>
    </from>
    <ext cx="6120000" cy="3024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0</col>
      <colOff>0</colOff>
      <row>13</row>
      <rowOff>0</rowOff>
    </from>
    <ext cx="6120000" cy="3096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_rels/sheet4.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tabColor rgb="0000272C"/>
    <outlinePr summaryBelow="1" summaryRight="1"/>
    <pageSetUpPr/>
  </sheetPr>
  <dimension ref="A1:E62"/>
  <sheetViews>
    <sheetView showGridLines="0" workbookViewId="0">
      <selection activeCell="A1" sqref="A1"/>
    </sheetView>
  </sheetViews>
  <sheetFormatPr baseColWidth="8" defaultRowHeight="15"/>
  <cols>
    <col width="14" customWidth="1" min="1" max="1"/>
    <col width="46" customWidth="1" min="2" max="2"/>
    <col width="11" customWidth="1" min="3" max="3"/>
    <col width="30" customWidth="1" min="4" max="4"/>
    <col width="34" customWidth="1" min="5" max="5"/>
  </cols>
  <sheetData>
    <row r="1" ht="27" customHeight="1">
      <c r="A1" s="1" t="inlineStr">
        <is>
          <t>Apex Instruments</t>
        </is>
      </c>
    </row>
    <row r="2">
      <c r="A2" s="2" t="inlineStr">
        <is>
          <t>Q3 2026 order book, cleaned and summarised</t>
        </is>
      </c>
    </row>
    <row r="4">
      <c r="A4" s="3" t="inlineStr">
        <is>
          <t>Built 2026-09-08 19:13 by build-workbook.py, openpyxl 3.1.5, from data/raw-orders.csv.</t>
        </is>
      </c>
    </row>
    <row r="5">
      <c r="A5" s="3" t="inlineStr">
        <is>
          <t>Source file: 405 lines, 4 preamble lines, header on line 5, 400 order rows.</t>
        </is>
      </c>
    </row>
    <row r="6">
      <c r="A6" s="3" t="inlineStr">
        <is>
          <t>Result: 381 rows imported, 377 of them changed by at least one rule, 19 rows held back.</t>
        </is>
      </c>
    </row>
    <row r="8">
      <c r="A8" s="4" t="inlineStr">
        <is>
          <t>WHAT THIS WORKBOOK IS</t>
        </is>
      </c>
    </row>
    <row r="9">
      <c r="A9" s="3" t="inlineStr">
        <is>
          <t>One quarter of Apex Instruments order lines, taken from a raw system export and turned into</t>
        </is>
      </c>
    </row>
    <row r="10">
      <c r="A10" s="3" t="inlineStr">
        <is>
          <t>something a finance or operations lead can act on without asking anyone what a number means.</t>
        </is>
      </c>
    </row>
    <row r="11">
      <c r="A11" s="3" t="inlineStr">
        <is>
          <t>Every figure on Summary, By month and By product is a live formula reading Clean data, so</t>
        </is>
      </c>
    </row>
    <row r="12">
      <c r="A12" s="3" t="inlineStr">
        <is>
          <t>correcting a row on Clean data moves every total that depends on it.</t>
        </is>
      </c>
    </row>
    <row r="14">
      <c r="A14" s="4" t="inlineStr">
        <is>
          <t>WHAT EACH SHEET DOES</t>
        </is>
      </c>
    </row>
    <row r="15">
      <c r="A15" s="3" t="inlineStr">
        <is>
          <t>Summary        Fifteen figures for the quarter, each one a formula, plus two reconciliation checks.</t>
        </is>
      </c>
    </row>
    <row r="16">
      <c r="A16" s="3" t="inlineStr">
        <is>
          <t>By month       July, August and September, with a line chart of net revenue and gross margin.</t>
        </is>
      </c>
    </row>
    <row r="17">
      <c r="A17" s="3" t="inlineStr">
        <is>
          <t>By product     The six catalog lines, with a bar chart and conditional formatting on margin.</t>
        </is>
      </c>
    </row>
    <row r="18">
      <c r="A18" s="3" t="inlineStr">
        <is>
          <t>Clean data     Every imported row, frozen header, filter on, dates and money formatted.</t>
        </is>
      </c>
    </row>
    <row r="19">
      <c r="A19" s="3" t="inlineStr">
        <is>
          <t>Rejected rows  Every row that was not imported, with the reason and the source line number.</t>
        </is>
      </c>
    </row>
    <row r="21">
      <c r="A21" s="4" t="inlineStr">
        <is>
          <t>CLEANING RULES APPLIED</t>
        </is>
      </c>
    </row>
    <row r="22">
      <c r="A22" s="3" t="inlineStr">
        <is>
          <t>Nothing was changed quietly. Each rule below reports how many times it fired and one real example.</t>
        </is>
      </c>
    </row>
    <row r="24" ht="18" customHeight="1">
      <c r="A24" s="5" t="inlineStr">
        <is>
          <t>Rule</t>
        </is>
      </c>
      <c r="B24" s="5" t="inlineStr">
        <is>
          <t>What it fixes</t>
        </is>
      </c>
      <c r="C24" s="6" t="inlineStr">
        <is>
          <t>Times</t>
        </is>
      </c>
      <c r="D24" s="5" t="inlineStr">
        <is>
          <t>Example in</t>
        </is>
      </c>
      <c r="E24" s="5" t="inlineStr">
        <is>
          <t>Example out</t>
        </is>
      </c>
    </row>
    <row r="25" ht="30" customHeight="1">
      <c r="A25" s="7" t="inlineStr">
        <is>
          <t>R01</t>
        </is>
      </c>
      <c r="B25" s="8" t="inlineStr">
        <is>
          <t>Header row located. Skips the export preamble and starts at the first line that carries the real column names.</t>
        </is>
      </c>
      <c r="C25" s="9" t="inlineStr">
        <is>
          <t>1 file</t>
        </is>
      </c>
      <c r="D25" s="8" t="inlineStr">
        <is>
          <t>4 preamble lines above the header</t>
        </is>
      </c>
      <c r="E25" s="8" t="inlineStr">
        <is>
          <t>header read from line 5</t>
        </is>
      </c>
    </row>
    <row r="26" ht="30" customHeight="1">
      <c r="A26" s="7" t="inlineStr">
        <is>
          <t>R02</t>
        </is>
      </c>
      <c r="B26" s="8" t="inlineStr">
        <is>
          <t>Date normalised to ISO. Five date shapes appear in the export. Each is parsed and rewritten as a real date value.</t>
        </is>
      </c>
      <c r="C26" s="9" t="inlineStr">
        <is>
          <t>235 rows</t>
        </is>
      </c>
      <c r="D26" s="8" t="inlineStr">
        <is>
          <t>21-Aug-2026</t>
        </is>
      </c>
      <c r="E26" s="8" t="inlineStr">
        <is>
          <t>2026-08-21</t>
        </is>
      </c>
    </row>
    <row r="27" ht="30" customHeight="1">
      <c r="A27" s="7" t="inlineStr">
        <is>
          <t>R03</t>
        </is>
      </c>
      <c r="B27" s="8" t="inlineStr">
        <is>
          <t>Currency parsed to a number. Strips the dollar sign, thousands separators and stray spaces so the value is arithmetic, not text.</t>
        </is>
      </c>
      <c r="C27" s="9" t="inlineStr">
        <is>
          <t>282 cells</t>
        </is>
      </c>
      <c r="D27" s="8" t="inlineStr">
        <is>
          <t>$180</t>
        </is>
      </c>
      <c r="E27" s="8" t="inlineStr">
        <is>
          <t>180.00</t>
        </is>
      </c>
    </row>
    <row r="28" ht="30" customHeight="1">
      <c r="A28" s="7" t="inlineStr">
        <is>
          <t>R04</t>
        </is>
      </c>
      <c r="B28" s="8" t="inlineStr">
        <is>
          <t>Whitespace trimmed. Removes leading and trailing spaces and collapses runs of spaces inside a value.</t>
        </is>
      </c>
      <c r="C28" s="9" t="inlineStr">
        <is>
          <t>304 cells</t>
        </is>
      </c>
      <c r="D28" s="8" t="inlineStr">
        <is>
          <t>'Partner '</t>
        </is>
      </c>
      <c r="E28" s="8" t="inlineStr">
        <is>
          <t>'Partner'</t>
        </is>
      </c>
    </row>
    <row r="29" ht="30" customHeight="1">
      <c r="A29" s="7" t="inlineStr">
        <is>
          <t>R05</t>
        </is>
      </c>
      <c r="B29" s="8" t="inlineStr">
        <is>
          <t>Ship-to city unified. One spelling per location. St Petersburg and ST PETERSBURG both become St. Petersburg.</t>
        </is>
      </c>
      <c r="C29" s="9" t="inlineStr">
        <is>
          <t>63 rows</t>
        </is>
      </c>
      <c r="D29" s="8" t="inlineStr">
        <is>
          <t>ST PETERSBURG</t>
        </is>
      </c>
      <c r="E29" s="8" t="inlineStr">
        <is>
          <t>St. Petersburg</t>
        </is>
      </c>
    </row>
    <row r="30" ht="30" customHeight="1">
      <c r="A30" s="7" t="inlineStr">
        <is>
          <t>R06</t>
        </is>
      </c>
      <c r="B30" s="8" t="inlineStr">
        <is>
          <t>Product matched to the catalog. Case, spacing and short forms are matched to the one catalog name. Field Kit becomes Meridian Field Kit.</t>
        </is>
      </c>
      <c r="C30" s="9" t="inlineStr">
        <is>
          <t>186 rows</t>
        </is>
      </c>
      <c r="D30" s="8" t="inlineStr">
        <is>
          <t>CALIBRATION SERVICE</t>
        </is>
      </c>
      <c r="E30" s="8" t="inlineStr">
        <is>
          <t>Calibration service</t>
        </is>
      </c>
    </row>
    <row r="31" ht="30" customHeight="1">
      <c r="A31" s="7" t="inlineStr">
        <is>
          <t>R07</t>
        </is>
      </c>
      <c r="B31" s="8" t="inlineStr">
        <is>
          <t>Partner id normalised. Upper cased and trimmed, then joined to the partner list for the partner name and region.</t>
        </is>
      </c>
      <c r="C31" s="9" t="inlineStr">
        <is>
          <t>90 rows</t>
        </is>
      </c>
      <c r="D31" s="8" t="inlineStr">
        <is>
          <t>dir-000</t>
        </is>
      </c>
      <c r="E31" s="8" t="inlineStr">
        <is>
          <t>DIR-000</t>
        </is>
      </c>
    </row>
    <row r="32" ht="30" customHeight="1">
      <c r="A32" s="7" t="inlineStr">
        <is>
          <t>R08</t>
        </is>
      </c>
      <c r="B32" s="8" t="inlineStr">
        <is>
          <t>Discount normalised to a fraction. A discount typed as 5% or 5.0% is divided by 100 and stored as 0.05, next to the ones already written as 0.05.</t>
        </is>
      </c>
      <c r="C32" s="9" t="inlineStr">
        <is>
          <t>171 rows</t>
        </is>
      </c>
      <c r="D32" s="8" t="inlineStr">
        <is>
          <t>5%</t>
        </is>
      </c>
      <c r="E32" s="8" t="inlineStr">
        <is>
          <t>0.0500</t>
        </is>
      </c>
    </row>
    <row r="33" ht="30" customHeight="1">
      <c r="A33" s="7" t="inlineStr">
        <is>
          <t>R09</t>
        </is>
      </c>
      <c r="B33" s="8" t="inlineStr">
        <is>
          <t>Placeholder treated as empty. Tokens that mean no value, such as N/A, TBD and a double hyphen, are read as empty, not as text.</t>
        </is>
      </c>
      <c r="C33" s="9" t="inlineStr">
        <is>
          <t>71 cells</t>
        </is>
      </c>
      <c r="D33" s="8" t="inlineStr">
        <is>
          <t>TBD</t>
        </is>
      </c>
      <c r="E33" s="8" t="inlineStr">
        <is>
          <t>(empty)</t>
        </is>
      </c>
    </row>
    <row r="34" ht="30" customHeight="1">
      <c r="A34" s="7" t="inlineStr">
        <is>
          <t>R10</t>
        </is>
      </c>
      <c r="B34" s="8" t="inlineStr">
        <is>
          <t>Whole number quantity made an integer. A quantity written as 2.0 is stored as 2 so it counts and sorts as a number.</t>
        </is>
      </c>
      <c r="C34" s="9" t="inlineStr">
        <is>
          <t>28 rows</t>
        </is>
      </c>
      <c r="D34" s="8" t="inlineStr">
        <is>
          <t>7.0</t>
        </is>
      </c>
      <c r="E34" s="8" t="inlineStr">
        <is>
          <t>7</t>
        </is>
      </c>
    </row>
    <row r="35" ht="30" customHeight="1">
      <c r="A35" s="7" t="inlineStr">
        <is>
          <t>R11</t>
        </is>
      </c>
      <c r="B35" s="8" t="inlineStr">
        <is>
          <t>Missing unit price filled from the catalog. A blank price is filled from the product list price and the fill is recorded on the row.</t>
        </is>
      </c>
      <c r="C35" s="9" t="inlineStr">
        <is>
          <t>16 rows</t>
        </is>
      </c>
      <c r="D35" s="8" t="inlineStr">
        <is>
          <t>(empty)</t>
        </is>
      </c>
      <c r="E35" s="8" t="inlineStr">
        <is>
          <t>180.00 from the catalog</t>
        </is>
      </c>
    </row>
    <row r="36" ht="30" customHeight="1">
      <c r="A36" s="7" t="inlineStr">
        <is>
          <t>R12</t>
        </is>
      </c>
      <c r="B36" s="8" t="inlineStr">
        <is>
          <t>Missing ship-to city filled from the partner. A blank city is filled from the partner record rather than left empty or guessed.</t>
        </is>
      </c>
      <c r="C36" s="9" t="inlineStr">
        <is>
          <t>13 rows</t>
        </is>
      </c>
      <c r="D36" s="8" t="inlineStr">
        <is>
          <t>(empty)</t>
        </is>
      </c>
      <c r="E36" s="8" t="inlineStr">
        <is>
          <t>Tampa from NLG-011</t>
        </is>
      </c>
    </row>
    <row r="37" ht="30" customHeight="1">
      <c r="A37" s="7" t="inlineStr">
        <is>
          <t>R13</t>
        </is>
      </c>
      <c r="B37" s="8" t="inlineStr">
        <is>
          <t>Channel and status matched to the allowed values. PARTNER, partner and Partner all become Partner. Anything outside the allowed set stops the row.</t>
        </is>
      </c>
      <c r="C37" s="9" t="inlineStr">
        <is>
          <t>103 rows</t>
        </is>
      </c>
      <c r="D37" s="8" t="inlineStr">
        <is>
          <t>PARTNER / Shipped</t>
        </is>
      </c>
      <c r="E37" s="8" t="inlineStr">
        <is>
          <t>Partner / Shipped</t>
        </is>
      </c>
    </row>
    <row r="39">
      <c r="A39" s="4" t="inlineStr">
        <is>
          <t>ROWS HELD BACK</t>
        </is>
      </c>
    </row>
    <row r="40">
      <c r="A40" s="3" t="inlineStr">
        <is>
          <t>Held back means not imported and not deleted. All 19 are listed on Rejected rows with their source line.</t>
        </is>
      </c>
    </row>
    <row r="42" ht="18" customHeight="1">
      <c r="A42" s="5" t="inlineStr">
        <is>
          <t>Code</t>
        </is>
      </c>
      <c r="B42" s="5" t="inlineStr">
        <is>
          <t>Reason</t>
        </is>
      </c>
      <c r="C42" s="6" t="inlineStr">
        <is>
          <t>Rows</t>
        </is>
      </c>
      <c r="D42" s="5" t="inlineStr">
        <is>
          <t>Where the rows came from</t>
        </is>
      </c>
    </row>
    <row r="43" ht="30" customHeight="1">
      <c r="A43" s="7" t="inlineStr">
        <is>
          <t>X1</t>
        </is>
      </c>
      <c r="B43" s="8" t="inlineStr">
        <is>
          <t>Duplicate order id. The first row with this id was imported, this one was not.</t>
        </is>
      </c>
      <c r="C43" s="10" t="n">
        <v>3</v>
      </c>
      <c r="D43" s="8" t="inlineStr">
        <is>
          <t>source lines 147, 239, 324</t>
        </is>
      </c>
    </row>
    <row r="44" ht="30" customHeight="1">
      <c r="A44" s="7" t="inlineStr">
        <is>
          <t>X2</t>
        </is>
      </c>
      <c r="B44" s="8" t="inlineStr">
        <is>
          <t>A required field is empty: order id, order date, product or quantity.</t>
        </is>
      </c>
      <c r="C44" s="10" t="n">
        <v>5</v>
      </c>
      <c r="D44" s="8" t="inlineStr">
        <is>
          <t>source lines 43, 102, 180, 272, 355</t>
        </is>
      </c>
    </row>
    <row r="45" ht="30" customHeight="1">
      <c r="A45" s="7" t="inlineStr">
        <is>
          <t>X3</t>
        </is>
      </c>
      <c r="B45" s="8" t="inlineStr">
        <is>
          <t>Quantity is zero or negative. A return needs a credit note, not an order row.</t>
        </is>
      </c>
      <c r="C45" s="10" t="n">
        <v>2</v>
      </c>
      <c r="D45" s="8" t="inlineStr">
        <is>
          <t>source lines 70, 294</t>
        </is>
      </c>
    </row>
    <row r="46" ht="30" customHeight="1">
      <c r="A46" s="7" t="inlineStr">
        <is>
          <t>X4</t>
        </is>
      </c>
      <c r="B46" s="8" t="inlineStr">
        <is>
          <t>The order date could not be read as a date in any known format.</t>
        </is>
      </c>
      <c r="C46" s="10" t="n">
        <v>2</v>
      </c>
      <c r="D46" s="8" t="inlineStr">
        <is>
          <t>source lines 89, 217</t>
        </is>
      </c>
    </row>
    <row r="47" ht="30" customHeight="1">
      <c r="A47" s="7" t="inlineStr">
        <is>
          <t>X5</t>
        </is>
      </c>
      <c r="B47" s="8" t="inlineStr">
        <is>
          <t>The product is not in the Apex catalog.</t>
        </is>
      </c>
      <c r="C47" s="10" t="n">
        <v>2</v>
      </c>
      <c r="D47" s="8" t="inlineStr">
        <is>
          <t>source lines 135, 310</t>
        </is>
      </c>
    </row>
    <row r="48" ht="30" customHeight="1">
      <c r="A48" s="7" t="inlineStr">
        <is>
          <t>X6</t>
        </is>
      </c>
      <c r="B48" s="8" t="inlineStr">
        <is>
          <t>The partner id is not in the partner list.</t>
        </is>
      </c>
      <c r="C48" s="10" t="n">
        <v>3</v>
      </c>
      <c r="D48" s="8" t="inlineStr">
        <is>
          <t>source lines 51, 196, 361</t>
        </is>
      </c>
    </row>
    <row r="49" ht="30" customHeight="1">
      <c r="A49" s="7" t="inlineStr">
        <is>
          <t>X7</t>
        </is>
      </c>
      <c r="B49" s="8" t="inlineStr">
        <is>
          <t>Quantity or unit price is not a number.</t>
        </is>
      </c>
      <c r="C49" s="10" t="n">
        <v>2</v>
      </c>
      <c r="D49" s="8" t="inlineStr">
        <is>
          <t>source lines 164, 278</t>
        </is>
      </c>
    </row>
    <row r="50" ht="30" customHeight="1">
      <c r="A50" s="7" t="inlineStr">
        <is>
          <t>X8</t>
        </is>
      </c>
      <c r="B50" s="8" t="inlineStr">
        <is>
          <t>Channel or status is outside the values this workbook allows.</t>
        </is>
      </c>
      <c r="C50" s="10" t="n">
        <v>0</v>
      </c>
      <c r="D50" s="8" t="inlineStr">
        <is>
          <t>none</t>
        </is>
      </c>
    </row>
    <row r="52">
      <c r="A52" s="4" t="inlineStr">
        <is>
          <t>ASSUMPTIONS AND JUDGEMENT CALLS</t>
        </is>
      </c>
    </row>
    <row r="53">
      <c r="A53" s="11" t="inlineStr">
        <is>
          <t>Slash dates are read month first, US convention, because that is what this export writes. A file</t>
        </is>
      </c>
    </row>
    <row r="54">
      <c r="A54" s="11" t="inlineStr">
        <is>
          <t>from a system that writes day first would need this rule changed, and it is the first thing to check.</t>
        </is>
      </c>
    </row>
    <row r="55">
      <c r="A55" s="11" t="inlineStr">
        <is>
          <t>Unit cost comes from the Apex product catalog, not from the export, so margin here is standard</t>
        </is>
      </c>
    </row>
    <row r="56">
      <c r="A56" s="11" t="inlineStr">
        <is>
          <t>margin at the list cost, not landed cost. Shipping is carried separately and is not in margin.</t>
        </is>
      </c>
    </row>
    <row r="57">
      <c r="A57" s="11" t="inlineStr">
        <is>
          <t>A blank unit price is filled from the catalog list price. A blank product, date, id or quantity is not</t>
        </is>
      </c>
    </row>
    <row r="58">
      <c r="A58" s="11" t="inlineStr">
        <is>
          <t>guessed. Those rows are held back so a person decides.</t>
        </is>
      </c>
    </row>
    <row r="59">
      <c r="A59" s="11" t="inlineStr">
        <is>
          <t>A repeated order id keeps the first row and holds back the later one, because in this export the</t>
        </is>
      </c>
    </row>
    <row r="60">
      <c r="A60" s="11" t="inlineStr">
        <is>
          <t>later row was the resend, not the correction.</t>
        </is>
      </c>
    </row>
    <row r="62">
      <c r="A62" s="4" t="inlineStr">
        <is>
          <t>Apex Instruments is fictional. Every name, figure and contact is demo data.</t>
        </is>
      </c>
    </row>
  </sheetData>
  <pageMargins left="0.75" right="0.75" top="1" bottom="1" header="0.5" footer="0.5"/>
</worksheet>
</file>

<file path=xl/worksheets/sheet2.xml><?xml version="1.0" encoding="utf-8"?>
<worksheet xmlns="http://schemas.openxmlformats.org/spreadsheetml/2006/main">
  <sheetPr>
    <tabColor rgb="00FF6B1C"/>
    <outlinePr summaryBelow="1" summaryRight="1"/>
    <pageSetUpPr/>
  </sheetPr>
  <dimension ref="A1:E24"/>
  <sheetViews>
    <sheetView showGridLines="0" workbookViewId="0">
      <selection activeCell="A1" sqref="A1"/>
    </sheetView>
  </sheetViews>
  <sheetFormatPr baseColWidth="8" defaultRowHeight="15"/>
  <cols>
    <col width="30" customWidth="1" min="1" max="1"/>
    <col width="17" customWidth="1" min="2" max="2"/>
    <col width="3" customWidth="1" min="3" max="3"/>
    <col width="30" customWidth="1" min="4" max="4"/>
    <col width="17" customWidth="1" min="5" max="5"/>
    <col width="3" customWidth="1" min="6" max="6"/>
    <col width="44" customWidth="1" min="7" max="7"/>
  </cols>
  <sheetData>
    <row r="1" ht="27" customHeight="1">
      <c r="A1" s="1" t="inlineStr">
        <is>
          <t>Quarter summary</t>
        </is>
      </c>
    </row>
    <row r="2">
      <c r="A2" s="2" t="inlineStr">
        <is>
          <t>Apex Instruments, quarter ending September 30, 2026</t>
        </is>
      </c>
    </row>
    <row r="3">
      <c r="A3" s="11" t="inlineStr">
        <is>
          <t>Every cell in column B and column E is a formula over the Clean data sheet.</t>
        </is>
      </c>
    </row>
    <row r="5" ht="22" customHeight="1">
      <c r="A5" s="12" t="inlineStr">
        <is>
          <t>Orders imported</t>
        </is>
      </c>
      <c r="B5" s="13">
        <f>COUNTA('Clean data'!$A$2:$A$382)</f>
        <v/>
      </c>
      <c r="D5" s="12" t="inlineStr">
        <is>
          <t>Average order value</t>
        </is>
      </c>
      <c r="E5" s="14">
        <f>IFERROR(B9/B5,0)</f>
        <v/>
      </c>
    </row>
    <row r="6" ht="22" customHeight="1">
      <c r="A6" s="12" t="inlineStr">
        <is>
          <t>Units sold</t>
        </is>
      </c>
      <c r="B6" s="13">
        <f>SUM('Clean data'!$I$2:$I$382)</f>
        <v/>
      </c>
      <c r="D6" s="12" t="inlineStr">
        <is>
          <t>Average discount</t>
        </is>
      </c>
      <c r="E6" s="15">
        <f>IFERROR(B8/B7,0)</f>
        <v/>
      </c>
    </row>
    <row r="7" ht="22" customHeight="1">
      <c r="A7" s="12" t="inlineStr">
        <is>
          <t>Gross revenue</t>
        </is>
      </c>
      <c r="B7" s="14">
        <f>SUM('Clean data'!$L$2:$L$382)</f>
        <v/>
      </c>
      <c r="D7" s="12" t="inlineStr">
        <is>
          <t>Partner net revenue</t>
        </is>
      </c>
      <c r="E7" s="14">
        <f>SUMIF('Clean data'!$R$2:$R$382,"Partner",'Clean data'!$M$2:$M$382)</f>
        <v/>
      </c>
    </row>
    <row r="8" ht="22" customHeight="1">
      <c r="A8" s="12" t="inlineStr">
        <is>
          <t>Discount given</t>
        </is>
      </c>
      <c r="B8" s="14">
        <f>B7-B9</f>
        <v/>
      </c>
      <c r="D8" s="12" t="inlineStr">
        <is>
          <t>Direct net revenue</t>
        </is>
      </c>
      <c r="E8" s="14">
        <f>SUMIF('Clean data'!$R$2:$R$382,"Direct",'Clean data'!$M$2:$M$382)</f>
        <v/>
      </c>
    </row>
    <row r="9" ht="22" customHeight="1">
      <c r="A9" s="12" t="inlineStr">
        <is>
          <t>Net revenue</t>
        </is>
      </c>
      <c r="B9" s="14">
        <f>SUM('Clean data'!$M$2:$M$382)</f>
        <v/>
      </c>
      <c r="D9" s="12" t="inlineStr">
        <is>
          <t>Shipping billed</t>
        </is>
      </c>
      <c r="E9" s="14">
        <f>SUM('Clean data'!$Q$2:$Q$382)</f>
        <v/>
      </c>
    </row>
    <row r="10" ht="22" customHeight="1">
      <c r="A10" s="12" t="inlineStr">
        <is>
          <t>Cost of goods</t>
        </is>
      </c>
      <c r="B10" s="14">
        <f>SUM('Clean data'!$O$2:$O$382)</f>
        <v/>
      </c>
      <c r="D10" s="12" t="inlineStr">
        <is>
          <t>Largest single line</t>
        </is>
      </c>
      <c r="E10" s="14">
        <f>MAX('Clean data'!$M$2:$M$382)</f>
        <v/>
      </c>
    </row>
    <row r="11" ht="22" customHeight="1">
      <c r="A11" s="12" t="inlineStr">
        <is>
          <t>Gross margin</t>
        </is>
      </c>
      <c r="B11" s="14">
        <f>B9-B10</f>
        <v/>
      </c>
      <c r="D11" s="12" t="inlineStr">
        <is>
          <t>Rows held back</t>
        </is>
      </c>
      <c r="E11" s="13">
        <f>COUNTA('Rejected rows'!$A$5:$A$23)</f>
        <v/>
      </c>
    </row>
    <row r="12" ht="22" customHeight="1">
      <c r="A12" s="12" t="inlineStr">
        <is>
          <t>Gross margin percent</t>
        </is>
      </c>
      <c r="B12" s="15">
        <f>IFERROR(B11/B9,0)</f>
        <v/>
      </c>
      <c r="D12" s="12" t="inlineStr">
        <is>
          <t>Rows read from source</t>
        </is>
      </c>
      <c r="E12" s="13">
        <f>B5+E11</f>
        <v/>
      </c>
    </row>
    <row r="14">
      <c r="A14" s="4" t="inlineStr">
        <is>
          <t>BEST AND BIGGEST</t>
        </is>
      </c>
    </row>
    <row r="15">
      <c r="A15" s="12" t="inlineStr">
        <is>
          <t>Strongest month by net revenue</t>
        </is>
      </c>
      <c r="B15" s="3">
        <f>INDEX('By month'!$A$5:$A$7,MATCH(MAX('By month'!$F$5:$F$7),'By month'!$F$5:$F$7,0))</f>
        <v/>
      </c>
    </row>
    <row r="16">
      <c r="A16" s="12" t="inlineStr">
        <is>
          <t>Largest product line by net revenue</t>
        </is>
      </c>
      <c r="B16" s="3">
        <f>INDEX('By product'!$A$5:$A$10,MATCH(MAX('By product'!$F$5:$F$10),'By product'!$F$5:$F$10,0))</f>
        <v/>
      </c>
    </row>
    <row r="17">
      <c r="A17" s="12" t="inlineStr">
        <is>
          <t>Product lines under 40 percent margin</t>
        </is>
      </c>
      <c r="B17" s="13">
        <f>COUNTIF('By product'!$I$5:$I$10,"&lt;0.4")</f>
        <v/>
      </c>
    </row>
    <row r="19">
      <c r="A19" s="4" t="inlineStr">
        <is>
          <t>RECONCILIATION</t>
        </is>
      </c>
    </row>
    <row r="20">
      <c r="A20" s="12" t="inlineStr">
        <is>
          <t>Net revenue on this sheet, less the By month total. Zero means the sheets agree.</t>
        </is>
      </c>
      <c r="B20" s="16">
        <f>ROUND(B9-'By month'!$F$8,2)</f>
        <v/>
      </c>
    </row>
    <row r="21">
      <c r="A21" s="12" t="inlineStr">
        <is>
          <t>Net revenue on this sheet, less the By product total. Zero means the sheets agree.</t>
        </is>
      </c>
      <c r="B21" s="16">
        <f>ROUND(B9-'By product'!$F$11,2)</f>
        <v/>
      </c>
    </row>
    <row r="22">
      <c r="A22" s="12" t="inlineStr">
        <is>
          <t>Rows read, less rows imported and rows held back. Zero means no row was lost.</t>
        </is>
      </c>
      <c r="B22" s="10">
        <f>E12-B5-E11</f>
        <v/>
      </c>
    </row>
    <row r="24">
      <c r="A24" s="11" t="inlineStr">
        <is>
          <t>Built 2026-09-08. Apex Instruments is fictional and every figure here is demo data.</t>
        </is>
      </c>
    </row>
  </sheetData>
  <pageMargins left="0.75" right="0.75" top="1" bottom="1" header="0.5" footer="0.5"/>
</worksheet>
</file>

<file path=xl/worksheets/sheet3.xml><?xml version="1.0" encoding="utf-8"?>
<worksheet xmlns="http://schemas.openxmlformats.org/spreadsheetml/2006/main">
  <sheetPr>
    <tabColor rgb="00245D63"/>
    <outlinePr summaryBelow="1" summaryRight="1"/>
    <pageSetUpPr/>
  </sheetPr>
  <dimension ref="A1:I29"/>
  <sheetViews>
    <sheetView showGridLines="0" workbookViewId="0">
      <selection activeCell="A1" sqref="A1"/>
    </sheetView>
  </sheetViews>
  <sheetFormatPr baseColWidth="8" defaultRowHeight="15"/>
  <cols>
    <col width="18" customWidth="1" min="1" max="1"/>
    <col width="10" customWidth="1" min="2" max="2"/>
    <col width="10" customWidth="1" min="3" max="3"/>
    <col width="14" customWidth="1" min="4" max="4"/>
    <col width="14" customWidth="1" min="5" max="5"/>
    <col width="15" customWidth="1" min="6" max="6"/>
    <col width="14" customWidth="1" min="7" max="7"/>
    <col width="14" customWidth="1" min="8" max="8"/>
    <col width="10" customWidth="1" min="9" max="9"/>
  </cols>
  <sheetData>
    <row r="1" ht="27" customHeight="1">
      <c r="A1" s="1" t="inlineStr">
        <is>
          <t>By month</t>
        </is>
      </c>
    </row>
    <row r="2">
      <c r="A2" s="11" t="inlineStr">
        <is>
          <t>Counted from Clean data with COUNTIF and SUMIF over the month column.</t>
        </is>
      </c>
    </row>
    <row r="4" ht="20" customHeight="1">
      <c r="A4" s="5" t="inlineStr">
        <is>
          <t>Month</t>
        </is>
      </c>
      <c r="B4" s="6" t="inlineStr">
        <is>
          <t>Orders</t>
        </is>
      </c>
      <c r="C4" s="6" t="inlineStr">
        <is>
          <t>Units</t>
        </is>
      </c>
      <c r="D4" s="6" t="inlineStr">
        <is>
          <t>Gross</t>
        </is>
      </c>
      <c r="E4" s="6" t="inlineStr">
        <is>
          <t>Discount</t>
        </is>
      </c>
      <c r="F4" s="6" t="inlineStr">
        <is>
          <t>Net revenue</t>
        </is>
      </c>
      <c r="G4" s="6" t="inlineStr">
        <is>
          <t>Cost</t>
        </is>
      </c>
      <c r="H4" s="6" t="inlineStr">
        <is>
          <t>Gross margin</t>
        </is>
      </c>
      <c r="I4" s="6" t="inlineStr">
        <is>
          <t>Margin</t>
        </is>
      </c>
    </row>
    <row r="5">
      <c r="A5" s="9" t="inlineStr">
        <is>
          <t>July 2026</t>
        </is>
      </c>
      <c r="B5" s="10">
        <f>COUNTIF('Clean data'!$C$2:$C$382,"2026-07")</f>
        <v/>
      </c>
      <c r="C5" s="10">
        <f>SUMIF('Clean data'!$C$2:$C$382,"2026-07",'Clean data'!$I$2:$I$382)</f>
        <v/>
      </c>
      <c r="D5" s="17">
        <f>SUMIF('Clean data'!$C$2:$C$382,"2026-07",'Clean data'!$L$2:$L$382)</f>
        <v/>
      </c>
      <c r="E5" s="17">
        <f>D5-F5</f>
        <v/>
      </c>
      <c r="F5" s="17">
        <f>SUMIF('Clean data'!$C$2:$C$382,"2026-07",'Clean data'!$M$2:$M$382)</f>
        <v/>
      </c>
      <c r="G5" s="17">
        <f>SUMIF('Clean data'!$C$2:$C$382,"2026-07",'Clean data'!$O$2:$O$382)</f>
        <v/>
      </c>
      <c r="H5" s="17">
        <f>F5-G5</f>
        <v/>
      </c>
      <c r="I5" s="18">
        <f>IFERROR(H5/F5,0)</f>
        <v/>
      </c>
    </row>
    <row r="6">
      <c r="A6" s="9" t="inlineStr">
        <is>
          <t>August 2026</t>
        </is>
      </c>
      <c r="B6" s="10">
        <f>COUNTIF('Clean data'!$C$2:$C$382,"2026-08")</f>
        <v/>
      </c>
      <c r="C6" s="10">
        <f>SUMIF('Clean data'!$C$2:$C$382,"2026-08",'Clean data'!$I$2:$I$382)</f>
        <v/>
      </c>
      <c r="D6" s="17">
        <f>SUMIF('Clean data'!$C$2:$C$382,"2026-08",'Clean data'!$L$2:$L$382)</f>
        <v/>
      </c>
      <c r="E6" s="17">
        <f>D6-F6</f>
        <v/>
      </c>
      <c r="F6" s="17">
        <f>SUMIF('Clean data'!$C$2:$C$382,"2026-08",'Clean data'!$M$2:$M$382)</f>
        <v/>
      </c>
      <c r="G6" s="17">
        <f>SUMIF('Clean data'!$C$2:$C$382,"2026-08",'Clean data'!$O$2:$O$382)</f>
        <v/>
      </c>
      <c r="H6" s="17">
        <f>F6-G6</f>
        <v/>
      </c>
      <c r="I6" s="18">
        <f>IFERROR(H6/F6,0)</f>
        <v/>
      </c>
    </row>
    <row r="7">
      <c r="A7" s="9" t="inlineStr">
        <is>
          <t>September 2026</t>
        </is>
      </c>
      <c r="B7" s="10">
        <f>COUNTIF('Clean data'!$C$2:$C$382,"2026-09")</f>
        <v/>
      </c>
      <c r="C7" s="10">
        <f>SUMIF('Clean data'!$C$2:$C$382,"2026-09",'Clean data'!$I$2:$I$382)</f>
        <v/>
      </c>
      <c r="D7" s="17">
        <f>SUMIF('Clean data'!$C$2:$C$382,"2026-09",'Clean data'!$L$2:$L$382)</f>
        <v/>
      </c>
      <c r="E7" s="17">
        <f>D7-F7</f>
        <v/>
      </c>
      <c r="F7" s="17">
        <f>SUMIF('Clean data'!$C$2:$C$382,"2026-09",'Clean data'!$M$2:$M$382)</f>
        <v/>
      </c>
      <c r="G7" s="17">
        <f>SUMIF('Clean data'!$C$2:$C$382,"2026-09",'Clean data'!$O$2:$O$382)</f>
        <v/>
      </c>
      <c r="H7" s="17">
        <f>F7-G7</f>
        <v/>
      </c>
      <c r="I7" s="18">
        <f>IFERROR(H7/F7,0)</f>
        <v/>
      </c>
    </row>
    <row r="8">
      <c r="A8" s="19" t="inlineStr">
        <is>
          <t>Quarter</t>
        </is>
      </c>
      <c r="B8" s="20">
        <f>SUM(B5:B7)</f>
        <v/>
      </c>
      <c r="C8" s="20">
        <f>SUM(C5:C7)</f>
        <v/>
      </c>
      <c r="D8" s="21">
        <f>SUM(D5:D7)</f>
        <v/>
      </c>
      <c r="E8" s="21">
        <f>SUM(E5:E7)</f>
        <v/>
      </c>
      <c r="F8" s="21">
        <f>SUM(F5:F7)</f>
        <v/>
      </c>
      <c r="G8" s="21">
        <f>SUM(G5:G7)</f>
        <v/>
      </c>
      <c r="H8" s="21">
        <f>SUM(H5:H7)</f>
        <v/>
      </c>
      <c r="I8" s="22">
        <f>IFERROR(H8/F8,0)</f>
        <v/>
      </c>
    </row>
    <row r="29">
      <c r="A29" s="11" t="inlineStr">
        <is>
          <t>A quarter has three points. The shape, not the slope, is the thing to read.</t>
        </is>
      </c>
    </row>
  </sheetData>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tabColor rgb="00245D63"/>
    <outlinePr summaryBelow="1" summaryRight="1"/>
    <pageSetUpPr/>
  </sheetPr>
  <dimension ref="A1:J32"/>
  <sheetViews>
    <sheetView showGridLines="0" workbookViewId="0">
      <selection activeCell="A1" sqref="A1"/>
    </sheetView>
  </sheetViews>
  <sheetFormatPr baseColWidth="8" defaultRowHeight="15"/>
  <cols>
    <col width="22" customWidth="1" min="1" max="1"/>
    <col width="10" customWidth="1" min="2" max="2"/>
    <col width="10" customWidth="1" min="3" max="3"/>
    <col width="14" customWidth="1" min="4" max="4"/>
    <col width="14" customWidth="1" min="5" max="5"/>
    <col width="15" customWidth="1" min="6" max="6"/>
    <col width="14" customWidth="1" min="7" max="7"/>
    <col width="14" customWidth="1" min="8" max="8"/>
    <col width="10" customWidth="1" min="9" max="9"/>
    <col width="11" customWidth="1" min="10" max="10"/>
  </cols>
  <sheetData>
    <row r="1" ht="27" customHeight="1">
      <c r="A1" s="1" t="inlineStr">
        <is>
          <t>By product</t>
        </is>
      </c>
    </row>
    <row r="2">
      <c r="A2" s="11" t="inlineStr">
        <is>
          <t>Margin is net revenue less standard cost. The margin column is colour scaled, and anything under 40 percent is flagged red.</t>
        </is>
      </c>
    </row>
    <row r="4" ht="20" customHeight="1">
      <c r="A4" s="5" t="inlineStr">
        <is>
          <t>Product</t>
        </is>
      </c>
      <c r="B4" s="6" t="inlineStr">
        <is>
          <t>Orders</t>
        </is>
      </c>
      <c r="C4" s="6" t="inlineStr">
        <is>
          <t>Units</t>
        </is>
      </c>
      <c r="D4" s="6" t="inlineStr">
        <is>
          <t>Gross</t>
        </is>
      </c>
      <c r="E4" s="6" t="inlineStr">
        <is>
          <t>Discount</t>
        </is>
      </c>
      <c r="F4" s="6" t="inlineStr">
        <is>
          <t>Net revenue</t>
        </is>
      </c>
      <c r="G4" s="6" t="inlineStr">
        <is>
          <t>Cost</t>
        </is>
      </c>
      <c r="H4" s="6" t="inlineStr">
        <is>
          <t>Gross margin</t>
        </is>
      </c>
      <c r="I4" s="6" t="inlineStr">
        <is>
          <t>Margin</t>
        </is>
      </c>
      <c r="J4" s="6" t="inlineStr">
        <is>
          <t>Share of net</t>
        </is>
      </c>
    </row>
    <row r="5">
      <c r="A5" s="9" t="inlineStr">
        <is>
          <t>Meridian Bench</t>
        </is>
      </c>
      <c r="B5" s="10">
        <f>COUNTIF('Clean data'!$H$2:$H$382,"Meridian Bench")</f>
        <v/>
      </c>
      <c r="C5" s="10">
        <f>SUMIF('Clean data'!$H$2:$H$382,"Meridian Bench",'Clean data'!$I$2:$I$382)</f>
        <v/>
      </c>
      <c r="D5" s="17">
        <f>SUMIF('Clean data'!$H$2:$H$382,"Meridian Bench",'Clean data'!$L$2:$L$382)</f>
        <v/>
      </c>
      <c r="E5" s="17">
        <f>D5-F5</f>
        <v/>
      </c>
      <c r="F5" s="17">
        <f>SUMIF('Clean data'!$H$2:$H$382,"Meridian Bench",'Clean data'!$M$2:$M$382)</f>
        <v/>
      </c>
      <c r="G5" s="17">
        <f>SUMIF('Clean data'!$H$2:$H$382,"Meridian Bench",'Clean data'!$O$2:$O$382)</f>
        <v/>
      </c>
      <c r="H5" s="17">
        <f>F5-G5</f>
        <v/>
      </c>
      <c r="I5" s="18">
        <f>IFERROR(H5/F5,0)</f>
        <v/>
      </c>
      <c r="J5" s="18">
        <f>IFERROR(F5/$F$11,0)</f>
        <v/>
      </c>
    </row>
    <row r="6">
      <c r="A6" s="9" t="inlineStr">
        <is>
          <t>Meridian Pro</t>
        </is>
      </c>
      <c r="B6" s="10">
        <f>COUNTIF('Clean data'!$H$2:$H$382,"Meridian Pro")</f>
        <v/>
      </c>
      <c r="C6" s="10">
        <f>SUMIF('Clean data'!$H$2:$H$382,"Meridian Pro",'Clean data'!$I$2:$I$382)</f>
        <v/>
      </c>
      <c r="D6" s="17">
        <f>SUMIF('Clean data'!$H$2:$H$382,"Meridian Pro",'Clean data'!$L$2:$L$382)</f>
        <v/>
      </c>
      <c r="E6" s="17">
        <f>D6-F6</f>
        <v/>
      </c>
      <c r="F6" s="17">
        <f>SUMIF('Clean data'!$H$2:$H$382,"Meridian Pro",'Clean data'!$M$2:$M$382)</f>
        <v/>
      </c>
      <c r="G6" s="17">
        <f>SUMIF('Clean data'!$H$2:$H$382,"Meridian Pro",'Clean data'!$O$2:$O$382)</f>
        <v/>
      </c>
      <c r="H6" s="17">
        <f>F6-G6</f>
        <v/>
      </c>
      <c r="I6" s="18">
        <f>IFERROR(H6/F6,0)</f>
        <v/>
      </c>
      <c r="J6" s="18">
        <f>IFERROR(F6/$F$11,0)</f>
        <v/>
      </c>
    </row>
    <row r="7">
      <c r="A7" s="9" t="inlineStr">
        <is>
          <t>Meridian Field Kit</t>
        </is>
      </c>
      <c r="B7" s="10">
        <f>COUNTIF('Clean data'!$H$2:$H$382,"Meridian Field Kit")</f>
        <v/>
      </c>
      <c r="C7" s="10">
        <f>SUMIF('Clean data'!$H$2:$H$382,"Meridian Field Kit",'Clean data'!$I$2:$I$382)</f>
        <v/>
      </c>
      <c r="D7" s="17">
        <f>SUMIF('Clean data'!$H$2:$H$382,"Meridian Field Kit",'Clean data'!$L$2:$L$382)</f>
        <v/>
      </c>
      <c r="E7" s="17">
        <f>D7-F7</f>
        <v/>
      </c>
      <c r="F7" s="17">
        <f>SUMIF('Clean data'!$H$2:$H$382,"Meridian Field Kit",'Clean data'!$M$2:$M$382)</f>
        <v/>
      </c>
      <c r="G7" s="17">
        <f>SUMIF('Clean data'!$H$2:$H$382,"Meridian Field Kit",'Clean data'!$O$2:$O$382)</f>
        <v/>
      </c>
      <c r="H7" s="17">
        <f>F7-G7</f>
        <v/>
      </c>
      <c r="I7" s="18">
        <f>IFERROR(H7/F7,0)</f>
        <v/>
      </c>
      <c r="J7" s="18">
        <f>IFERROR(F7/$F$11,0)</f>
        <v/>
      </c>
    </row>
    <row r="8">
      <c r="A8" s="9" t="inlineStr">
        <is>
          <t>Atlas Care Plus</t>
        </is>
      </c>
      <c r="B8" s="10">
        <f>COUNTIF('Clean data'!$H$2:$H$382,"Atlas Care Plus")</f>
        <v/>
      </c>
      <c r="C8" s="10">
        <f>SUMIF('Clean data'!$H$2:$H$382,"Atlas Care Plus",'Clean data'!$I$2:$I$382)</f>
        <v/>
      </c>
      <c r="D8" s="17">
        <f>SUMIF('Clean data'!$H$2:$H$382,"Atlas Care Plus",'Clean data'!$L$2:$L$382)</f>
        <v/>
      </c>
      <c r="E8" s="17">
        <f>D8-F8</f>
        <v/>
      </c>
      <c r="F8" s="17">
        <f>SUMIF('Clean data'!$H$2:$H$382,"Atlas Care Plus",'Clean data'!$M$2:$M$382)</f>
        <v/>
      </c>
      <c r="G8" s="17">
        <f>SUMIF('Clean data'!$H$2:$H$382,"Atlas Care Plus",'Clean data'!$O$2:$O$382)</f>
        <v/>
      </c>
      <c r="H8" s="17">
        <f>F8-G8</f>
        <v/>
      </c>
      <c r="I8" s="18">
        <f>IFERROR(H8/F8,0)</f>
        <v/>
      </c>
      <c r="J8" s="18">
        <f>IFERROR(F8/$F$11,0)</f>
        <v/>
      </c>
    </row>
    <row r="9">
      <c r="A9" s="9" t="inlineStr">
        <is>
          <t>Calibration service</t>
        </is>
      </c>
      <c r="B9" s="10">
        <f>COUNTIF('Clean data'!$H$2:$H$382,"Calibration service")</f>
        <v/>
      </c>
      <c r="C9" s="10">
        <f>SUMIF('Clean data'!$H$2:$H$382,"Calibration service",'Clean data'!$I$2:$I$382)</f>
        <v/>
      </c>
      <c r="D9" s="17">
        <f>SUMIF('Clean data'!$H$2:$H$382,"Calibration service",'Clean data'!$L$2:$L$382)</f>
        <v/>
      </c>
      <c r="E9" s="17">
        <f>D9-F9</f>
        <v/>
      </c>
      <c r="F9" s="17">
        <f>SUMIF('Clean data'!$H$2:$H$382,"Calibration service",'Clean data'!$M$2:$M$382)</f>
        <v/>
      </c>
      <c r="G9" s="17">
        <f>SUMIF('Clean data'!$H$2:$H$382,"Calibration service",'Clean data'!$O$2:$O$382)</f>
        <v/>
      </c>
      <c r="H9" s="17">
        <f>F9-G9</f>
        <v/>
      </c>
      <c r="I9" s="18">
        <f>IFERROR(H9/F9,0)</f>
        <v/>
      </c>
      <c r="J9" s="18">
        <f>IFERROR(F9/$F$11,0)</f>
        <v/>
      </c>
    </row>
    <row r="10">
      <c r="A10" s="9" t="inlineStr">
        <is>
          <t>On-site training</t>
        </is>
      </c>
      <c r="B10" s="10">
        <f>COUNTIF('Clean data'!$H$2:$H$382,"On-site training")</f>
        <v/>
      </c>
      <c r="C10" s="10">
        <f>SUMIF('Clean data'!$H$2:$H$382,"On-site training",'Clean data'!$I$2:$I$382)</f>
        <v/>
      </c>
      <c r="D10" s="17">
        <f>SUMIF('Clean data'!$H$2:$H$382,"On-site training",'Clean data'!$L$2:$L$382)</f>
        <v/>
      </c>
      <c r="E10" s="17">
        <f>D10-F10</f>
        <v/>
      </c>
      <c r="F10" s="17">
        <f>SUMIF('Clean data'!$H$2:$H$382,"On-site training",'Clean data'!$M$2:$M$382)</f>
        <v/>
      </c>
      <c r="G10" s="17">
        <f>SUMIF('Clean data'!$H$2:$H$382,"On-site training",'Clean data'!$O$2:$O$382)</f>
        <v/>
      </c>
      <c r="H10" s="17">
        <f>F10-G10</f>
        <v/>
      </c>
      <c r="I10" s="18">
        <f>IFERROR(H10/F10,0)</f>
        <v/>
      </c>
      <c r="J10" s="18">
        <f>IFERROR(F10/$F$11,0)</f>
        <v/>
      </c>
    </row>
    <row r="11">
      <c r="A11" s="19" t="inlineStr">
        <is>
          <t>All products</t>
        </is>
      </c>
      <c r="B11" s="20">
        <f>SUM(B5:B10)</f>
        <v/>
      </c>
      <c r="C11" s="20">
        <f>SUM(C5:C10)</f>
        <v/>
      </c>
      <c r="D11" s="21">
        <f>SUM(D5:D10)</f>
        <v/>
      </c>
      <c r="E11" s="21">
        <f>SUM(E5:E10)</f>
        <v/>
      </c>
      <c r="F11" s="21">
        <f>SUM(F5:F10)</f>
        <v/>
      </c>
      <c r="G11" s="21">
        <f>SUM(G5:G10)</f>
        <v/>
      </c>
      <c r="H11" s="21">
        <f>SUM(H5:H10)</f>
        <v/>
      </c>
      <c r="I11" s="22">
        <f>IFERROR(H11/F11,0)</f>
        <v/>
      </c>
      <c r="J11" s="22">
        <f>IFERROR(F11/$F$11,0)</f>
        <v/>
      </c>
    </row>
    <row r="32">
      <c r="A32" s="11" t="inlineStr">
        <is>
          <t>Share of net adds to 100 percent. Standard cost comes from the catalog, not from the export.</t>
        </is>
      </c>
    </row>
  </sheetData>
  <conditionalFormatting sqref="I5:I10">
    <cfRule type="colorScale" priority="1">
      <colorScale>
        <cfvo type="num" val="0.3"/>
        <cfvo type="num" val="0.45"/>
        <cfvo type="num" val="0.6"/>
        <color rgb="00F8C9B4"/>
        <color rgb="00FFFFFF"/>
        <color rgb="00C9E3E1"/>
      </colorScale>
    </cfRule>
    <cfRule type="cellIs" priority="2" operator="lessThan" dxfId="0">
      <formula>0.4</formula>
    </cfRule>
  </conditionalFormatting>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tabColor rgb="00245D63"/>
    <outlinePr summaryBelow="1" summaryRight="1"/>
    <pageSetUpPr/>
  </sheetPr>
  <dimension ref="A1:V382"/>
  <sheetViews>
    <sheetView showGridLines="0" workbookViewId="0">
      <pane xSplit="2" ySplit="1" topLeftCell="C2" activePane="bottomRight" state="frozen"/>
      <selection pane="topRight"/>
      <selection pane="bottomLeft"/>
      <selection pane="bottomRight" activeCell="A1" sqref="A1"/>
    </sheetView>
  </sheetViews>
  <sheetFormatPr baseColWidth="8" defaultRowHeight="15"/>
  <cols>
    <col width="12" customWidth="1" min="1" max="1"/>
    <col width="12" customWidth="1" min="2" max="2"/>
    <col width="9" customWidth="1" min="3" max="3"/>
    <col width="11" customWidth="1" min="4" max="4"/>
    <col width="25" customWidth="1" min="5" max="5"/>
    <col width="16" customWidth="1" min="6" max="6"/>
    <col width="15" customWidth="1" min="7" max="7"/>
    <col width="20" customWidth="1" min="8" max="8"/>
    <col width="7" customWidth="1" min="9" max="9"/>
    <col width="12" customWidth="1" min="10" max="10"/>
    <col width="10" customWidth="1" min="11" max="11"/>
    <col width="13" customWidth="1" min="12" max="12"/>
    <col width="13" customWidth="1" min="13" max="13"/>
    <col width="11" customWidth="1" min="14" max="14"/>
    <col width="13" customWidth="1" min="15" max="15"/>
    <col width="9" customWidth="1" min="16" max="16"/>
    <col width="11" customWidth="1" min="17" max="17"/>
    <col width="10" customWidth="1" min="18" max="18"/>
    <col width="15" customWidth="1" min="19" max="19"/>
    <col width="10" customWidth="1" min="20" max="20"/>
    <col width="12" customWidth="1" min="21" max="21"/>
    <col width="26" customWidth="1" min="22" max="22"/>
  </cols>
  <sheetData>
    <row r="1" ht="26" customHeight="1">
      <c r="A1" s="5" t="inlineStr">
        <is>
          <t>Order id</t>
        </is>
      </c>
      <c r="B1" s="5" t="inlineStr">
        <is>
          <t>Order date</t>
        </is>
      </c>
      <c r="C1" s="5" t="inlineStr">
        <is>
          <t>Month</t>
        </is>
      </c>
      <c r="D1" s="5" t="inlineStr">
        <is>
          <t>Partner id</t>
        </is>
      </c>
      <c r="E1" s="5" t="inlineStr">
        <is>
          <t>Partner</t>
        </is>
      </c>
      <c r="F1" s="5" t="inlineStr">
        <is>
          <t>Region</t>
        </is>
      </c>
      <c r="G1" s="5" t="inlineStr">
        <is>
          <t>Ship to city</t>
        </is>
      </c>
      <c r="H1" s="5" t="inlineStr">
        <is>
          <t>Product</t>
        </is>
      </c>
      <c r="I1" s="6" t="inlineStr">
        <is>
          <t>Qty</t>
        </is>
      </c>
      <c r="J1" s="6" t="inlineStr">
        <is>
          <t>Unit price</t>
        </is>
      </c>
      <c r="K1" s="6" t="inlineStr">
        <is>
          <t>Discount</t>
        </is>
      </c>
      <c r="L1" s="6" t="inlineStr">
        <is>
          <t>Gross</t>
        </is>
      </c>
      <c r="M1" s="6" t="inlineStr">
        <is>
          <t>Net revenue</t>
        </is>
      </c>
      <c r="N1" s="6" t="inlineStr">
        <is>
          <t>Unit cost</t>
        </is>
      </c>
      <c r="O1" s="6" t="inlineStr">
        <is>
          <t>Cost</t>
        </is>
      </c>
      <c r="P1" s="6" t="inlineStr">
        <is>
          <t>Margin</t>
        </is>
      </c>
      <c r="Q1" s="6" t="inlineStr">
        <is>
          <t>Ship cost</t>
        </is>
      </c>
      <c r="R1" s="5" t="inlineStr">
        <is>
          <t>Channel</t>
        </is>
      </c>
      <c r="S1" s="5" t="inlineStr">
        <is>
          <t>Rep</t>
        </is>
      </c>
      <c r="T1" s="5" t="inlineStr">
        <is>
          <t>Status</t>
        </is>
      </c>
      <c r="U1" s="6" t="inlineStr">
        <is>
          <t>Source line</t>
        </is>
      </c>
      <c r="V1" s="5" t="inlineStr">
        <is>
          <t>Notes</t>
        </is>
      </c>
    </row>
    <row r="2">
      <c r="A2" s="7" t="inlineStr">
        <is>
          <t>AP-30003</t>
        </is>
      </c>
      <c r="B2" s="23" t="n">
        <v>46255</v>
      </c>
      <c r="C2" s="7">
        <f>TEXT(B2,"yyyy-mm")</f>
        <v/>
      </c>
      <c r="D2" s="7" t="inlineStr">
        <is>
          <t>NLG-036</t>
        </is>
      </c>
      <c r="E2" s="9" t="inlineStr">
        <is>
          <t>Northlight Group</t>
        </is>
      </c>
      <c r="F2" s="9" t="inlineStr">
        <is>
          <t>Gulf Coast</t>
        </is>
      </c>
      <c r="G2" s="9" t="inlineStr">
        <is>
          <t>Clearwater</t>
        </is>
      </c>
      <c r="H2" s="9" t="inlineStr">
        <is>
          <t>Calibration service</t>
        </is>
      </c>
      <c r="I2" s="10" t="n">
        <v>2</v>
      </c>
      <c r="J2" s="16" t="n">
        <v>180</v>
      </c>
      <c r="K2" s="18" t="n">
        <v>0.05</v>
      </c>
      <c r="L2" s="16">
        <f>I2*J2</f>
        <v/>
      </c>
      <c r="M2" s="16">
        <f>ROUND(L2*(1-K2),2)</f>
        <v/>
      </c>
      <c r="N2" s="16" t="n">
        <v>99</v>
      </c>
      <c r="O2" s="16">
        <f>I2*N2</f>
        <v/>
      </c>
      <c r="P2" s="18">
        <f>IFERROR((M2-O2)/M2,0)</f>
        <v/>
      </c>
      <c r="Q2" s="16" t="n">
        <v>0</v>
      </c>
      <c r="R2" s="9" t="inlineStr">
        <is>
          <t>Partner</t>
        </is>
      </c>
      <c r="S2" s="9" t="inlineStr">
        <is>
          <t>Sami Torres</t>
        </is>
      </c>
      <c r="T2" s="9" t="inlineStr">
        <is>
          <t>Invoiced</t>
        </is>
      </c>
      <c r="U2" s="10" t="n">
        <v>6</v>
      </c>
      <c r="V2" s="9" t="inlineStr">
        <is>
          <t>Ship with calibration cert</t>
        </is>
      </c>
    </row>
    <row r="3">
      <c r="A3" s="7" t="inlineStr">
        <is>
          <t>AP-30007</t>
        </is>
      </c>
      <c r="B3" s="23" t="n">
        <v>46235</v>
      </c>
      <c r="C3" s="7">
        <f>TEXT(B3,"yyyy-mm")</f>
        <v/>
      </c>
      <c r="D3" s="7" t="inlineStr">
        <is>
          <t>DIR-000</t>
        </is>
      </c>
      <c r="E3" s="9" t="inlineStr">
        <is>
          <t>Apex Instruments direct</t>
        </is>
      </c>
      <c r="F3" s="9" t="inlineStr">
        <is>
          <t>House</t>
        </is>
      </c>
      <c r="G3" s="9" t="inlineStr">
        <is>
          <t>Tampa</t>
        </is>
      </c>
      <c r="H3" s="9" t="inlineStr">
        <is>
          <t>On-site training</t>
        </is>
      </c>
      <c r="I3" s="10" t="n">
        <v>3</v>
      </c>
      <c r="J3" s="16" t="n">
        <v>650</v>
      </c>
      <c r="K3" s="18" t="n">
        <v>0</v>
      </c>
      <c r="L3" s="16">
        <f>I3*J3</f>
        <v/>
      </c>
      <c r="M3" s="16">
        <f>ROUND(L3*(1-K3),2)</f>
        <v/>
      </c>
      <c r="N3" s="16" t="n">
        <v>429</v>
      </c>
      <c r="O3" s="16">
        <f>I3*N3</f>
        <v/>
      </c>
      <c r="P3" s="18">
        <f>IFERROR((M3-O3)/M3,0)</f>
        <v/>
      </c>
      <c r="Q3" s="16" t="n">
        <v>0</v>
      </c>
      <c r="R3" s="9" t="inlineStr">
        <is>
          <t>Direct</t>
        </is>
      </c>
      <c r="S3" s="9" t="inlineStr">
        <is>
          <t>Morgan Reyes</t>
        </is>
      </c>
      <c r="T3" s="9" t="inlineStr">
        <is>
          <t>Invoiced</t>
        </is>
      </c>
      <c r="U3" s="10" t="n">
        <v>7</v>
      </c>
      <c r="V3" s="9" t="inlineStr">
        <is>
          <t>Ship with calibration cert</t>
        </is>
      </c>
    </row>
    <row r="4">
      <c r="A4" s="7" t="inlineStr">
        <is>
          <t>AP-30015</t>
        </is>
      </c>
      <c r="B4" s="23" t="n">
        <v>46247</v>
      </c>
      <c r="C4" s="7">
        <f>TEXT(B4,"yyyy-mm")</f>
        <v/>
      </c>
      <c r="D4" s="7" t="inlineStr">
        <is>
          <t>NLG-011</t>
        </is>
      </c>
      <c r="E4" s="9" t="inlineStr">
        <is>
          <t>Northlight Group</t>
        </is>
      </c>
      <c r="F4" s="9" t="inlineStr">
        <is>
          <t>Gulf Coast</t>
        </is>
      </c>
      <c r="G4" s="9" t="inlineStr">
        <is>
          <t>Tampa</t>
        </is>
      </c>
      <c r="H4" s="9" t="inlineStr">
        <is>
          <t>Calibration service</t>
        </is>
      </c>
      <c r="I4" s="10" t="n">
        <v>3</v>
      </c>
      <c r="J4" s="16" t="n">
        <v>180</v>
      </c>
      <c r="K4" s="18" t="n">
        <v>0.12</v>
      </c>
      <c r="L4" s="16">
        <f>I4*J4</f>
        <v/>
      </c>
      <c r="M4" s="16">
        <f>ROUND(L4*(1-K4),2)</f>
        <v/>
      </c>
      <c r="N4" s="16" t="n">
        <v>99</v>
      </c>
      <c r="O4" s="16">
        <f>I4*N4</f>
        <v/>
      </c>
      <c r="P4" s="18">
        <f>IFERROR((M4-O4)/M4,0)</f>
        <v/>
      </c>
      <c r="Q4" s="16" t="n">
        <v>0</v>
      </c>
      <c r="R4" s="9" t="inlineStr">
        <is>
          <t>Partner</t>
        </is>
      </c>
      <c r="S4" s="9" t="inlineStr">
        <is>
          <t>Morgan Reyes</t>
        </is>
      </c>
      <c r="T4" s="9" t="inlineStr">
        <is>
          <t>Invoiced</t>
        </is>
      </c>
      <c r="U4" s="10" t="n">
        <v>8</v>
      </c>
      <c r="V4" s="9" t="inlineStr">
        <is>
          <t>Backorder cleared</t>
        </is>
      </c>
    </row>
    <row r="5">
      <c r="A5" s="7" t="inlineStr">
        <is>
          <t>AP-30021</t>
        </is>
      </c>
      <c r="B5" s="23" t="n">
        <v>46209</v>
      </c>
      <c r="C5" s="7">
        <f>TEXT(B5,"yyyy-mm")</f>
        <v/>
      </c>
      <c r="D5" s="7" t="inlineStr">
        <is>
          <t>NLG-022</t>
        </is>
      </c>
      <c r="E5" s="9" t="inlineStr">
        <is>
          <t>Northlight Group</t>
        </is>
      </c>
      <c r="F5" s="9" t="inlineStr">
        <is>
          <t>Central Florida</t>
        </is>
      </c>
      <c r="G5" s="9" t="inlineStr">
        <is>
          <t>Orlando</t>
        </is>
      </c>
      <c r="H5" s="9" t="inlineStr">
        <is>
          <t>Calibration service</t>
        </is>
      </c>
      <c r="I5" s="10" t="n">
        <v>3</v>
      </c>
      <c r="J5" s="16" t="n">
        <v>180</v>
      </c>
      <c r="K5" s="18" t="n">
        <v>0</v>
      </c>
      <c r="L5" s="16">
        <f>I5*J5</f>
        <v/>
      </c>
      <c r="M5" s="16">
        <f>ROUND(L5*(1-K5),2)</f>
        <v/>
      </c>
      <c r="N5" s="16" t="n">
        <v>99</v>
      </c>
      <c r="O5" s="16">
        <f>I5*N5</f>
        <v/>
      </c>
      <c r="P5" s="18">
        <f>IFERROR((M5-O5)/M5,0)</f>
        <v/>
      </c>
      <c r="Q5" s="16" t="n">
        <v>0</v>
      </c>
      <c r="R5" s="9" t="inlineStr">
        <is>
          <t>Partner</t>
        </is>
      </c>
      <c r="S5" s="9" t="inlineStr">
        <is>
          <t>Sami Torres</t>
        </is>
      </c>
      <c r="T5" s="9" t="inlineStr">
        <is>
          <t>Invoiced</t>
        </is>
      </c>
      <c r="U5" s="10" t="n">
        <v>9</v>
      </c>
      <c r="V5" s="9" t="inlineStr">
        <is>
          <t>Ship with calibration cert</t>
        </is>
      </c>
    </row>
    <row r="6">
      <c r="A6" s="7" t="inlineStr">
        <is>
          <t>AP-30030</t>
        </is>
      </c>
      <c r="B6" s="23" t="n">
        <v>46206</v>
      </c>
      <c r="C6" s="7">
        <f>TEXT(B6,"yyyy-mm")</f>
        <v/>
      </c>
      <c r="D6" s="7" t="inlineStr">
        <is>
          <t>NLG-044</t>
        </is>
      </c>
      <c r="E6" s="9" t="inlineStr">
        <is>
          <t>Northlight Group</t>
        </is>
      </c>
      <c r="F6" s="9" t="inlineStr">
        <is>
          <t>Central Florida</t>
        </is>
      </c>
      <c r="G6" s="9" t="inlineStr">
        <is>
          <t>Brandon</t>
        </is>
      </c>
      <c r="H6" s="9" t="inlineStr">
        <is>
          <t>Calibration service</t>
        </is>
      </c>
      <c r="I6" s="10" t="n">
        <v>3</v>
      </c>
      <c r="J6" s="16" t="n">
        <v>180</v>
      </c>
      <c r="K6" s="18" t="n">
        <v>0</v>
      </c>
      <c r="L6" s="16">
        <f>I6*J6</f>
        <v/>
      </c>
      <c r="M6" s="16">
        <f>ROUND(L6*(1-K6),2)</f>
        <v/>
      </c>
      <c r="N6" s="16" t="n">
        <v>99</v>
      </c>
      <c r="O6" s="16">
        <f>I6*N6</f>
        <v/>
      </c>
      <c r="P6" s="18">
        <f>IFERROR((M6-O6)/M6,0)</f>
        <v/>
      </c>
      <c r="Q6" s="16" t="n">
        <v>0</v>
      </c>
      <c r="R6" s="9" t="inlineStr">
        <is>
          <t>Partner</t>
        </is>
      </c>
      <c r="S6" s="9" t="inlineStr">
        <is>
          <t>Jordan Vale</t>
        </is>
      </c>
      <c r="T6" s="9" t="inlineStr">
        <is>
          <t>Shipped</t>
        </is>
      </c>
      <c r="U6" s="10" t="n">
        <v>10</v>
      </c>
      <c r="V6" s="9" t="inlineStr">
        <is>
          <t>Replaces damaged unit</t>
        </is>
      </c>
    </row>
    <row r="7">
      <c r="A7" s="7" t="inlineStr">
        <is>
          <t>AP-30035</t>
        </is>
      </c>
      <c r="B7" s="23" t="n">
        <v>46266</v>
      </c>
      <c r="C7" s="7">
        <f>TEXT(B7,"yyyy-mm")</f>
        <v/>
      </c>
      <c r="D7" s="7" t="inlineStr">
        <is>
          <t>NLG-022</t>
        </is>
      </c>
      <c r="E7" s="9" t="inlineStr">
        <is>
          <t>Northlight Group</t>
        </is>
      </c>
      <c r="F7" s="9" t="inlineStr">
        <is>
          <t>Central Florida</t>
        </is>
      </c>
      <c r="G7" s="9" t="inlineStr">
        <is>
          <t>Orlando</t>
        </is>
      </c>
      <c r="H7" s="9" t="inlineStr">
        <is>
          <t>On-site training</t>
        </is>
      </c>
      <c r="I7" s="10" t="n">
        <v>1</v>
      </c>
      <c r="J7" s="16" t="n">
        <v>650</v>
      </c>
      <c r="K7" s="18" t="n">
        <v>0.12</v>
      </c>
      <c r="L7" s="16">
        <f>I7*J7</f>
        <v/>
      </c>
      <c r="M7" s="16">
        <f>ROUND(L7*(1-K7),2)</f>
        <v/>
      </c>
      <c r="N7" s="16" t="n">
        <v>429</v>
      </c>
      <c r="O7" s="16">
        <f>I7*N7</f>
        <v/>
      </c>
      <c r="P7" s="18">
        <f>IFERROR((M7-O7)/M7,0)</f>
        <v/>
      </c>
      <c r="Q7" s="16" t="n">
        <v>0</v>
      </c>
      <c r="R7" s="9" t="inlineStr">
        <is>
          <t>Partner</t>
        </is>
      </c>
      <c r="S7" s="9" t="inlineStr">
        <is>
          <t>Jordan Vale</t>
        </is>
      </c>
      <c r="T7" s="9" t="inlineStr">
        <is>
          <t>Invoiced</t>
        </is>
      </c>
      <c r="U7" s="10" t="n">
        <v>11</v>
      </c>
      <c r="V7" s="9" t="inlineStr">
        <is>
          <t>Rush requested</t>
        </is>
      </c>
    </row>
    <row r="8">
      <c r="A8" s="7" t="inlineStr">
        <is>
          <t>AP-30043</t>
        </is>
      </c>
      <c r="B8" s="23" t="n">
        <v>46227</v>
      </c>
      <c r="C8" s="7">
        <f>TEXT(B8,"yyyy-mm")</f>
        <v/>
      </c>
      <c r="D8" s="7" t="inlineStr">
        <is>
          <t>NLG-031</t>
        </is>
      </c>
      <c r="E8" s="9" t="inlineStr">
        <is>
          <t>Northlight Group</t>
        </is>
      </c>
      <c r="F8" s="9" t="inlineStr">
        <is>
          <t>Gulf Coast</t>
        </is>
      </c>
      <c r="G8" s="9" t="inlineStr">
        <is>
          <t>Sarasota</t>
        </is>
      </c>
      <c r="H8" s="9" t="inlineStr">
        <is>
          <t>Meridian Bench</t>
        </is>
      </c>
      <c r="I8" s="10" t="n">
        <v>3</v>
      </c>
      <c r="J8" s="16" t="n">
        <v>4850</v>
      </c>
      <c r="K8" s="18" t="n">
        <v>0.03</v>
      </c>
      <c r="L8" s="16">
        <f>I8*J8</f>
        <v/>
      </c>
      <c r="M8" s="16">
        <f>ROUND(L8*(1-K8),2)</f>
        <v/>
      </c>
      <c r="N8" s="16" t="n">
        <v>2910</v>
      </c>
      <c r="O8" s="16">
        <f>I8*N8</f>
        <v/>
      </c>
      <c r="P8" s="18">
        <f>IFERROR((M8-O8)/M8,0)</f>
        <v/>
      </c>
      <c r="Q8" s="16" t="n">
        <v>113.28</v>
      </c>
      <c r="R8" s="9" t="inlineStr">
        <is>
          <t>Partner</t>
        </is>
      </c>
      <c r="S8" s="9" t="inlineStr">
        <is>
          <t>Jordan Vale</t>
        </is>
      </c>
      <c r="T8" s="9" t="inlineStr">
        <is>
          <t>Open</t>
        </is>
      </c>
      <c r="U8" s="10" t="n">
        <v>12</v>
      </c>
      <c r="V8" s="9" t="inlineStr">
        <is>
          <t>Renewal</t>
        </is>
      </c>
    </row>
    <row r="9">
      <c r="A9" s="7" t="inlineStr">
        <is>
          <t>AP-30052</t>
        </is>
      </c>
      <c r="B9" s="23" t="n">
        <v>46257</v>
      </c>
      <c r="C9" s="7">
        <f>TEXT(B9,"yyyy-mm")</f>
        <v/>
      </c>
      <c r="D9" s="7" t="inlineStr">
        <is>
          <t>NLG-044</t>
        </is>
      </c>
      <c r="E9" s="9" t="inlineStr">
        <is>
          <t>Northlight Group</t>
        </is>
      </c>
      <c r="F9" s="9" t="inlineStr">
        <is>
          <t>Central Florida</t>
        </is>
      </c>
      <c r="G9" s="9" t="inlineStr">
        <is>
          <t>Brandon</t>
        </is>
      </c>
      <c r="H9" s="9" t="inlineStr">
        <is>
          <t>Atlas Care Plus</t>
        </is>
      </c>
      <c r="I9" s="10" t="n">
        <v>7</v>
      </c>
      <c r="J9" s="16" t="n">
        <v>1788</v>
      </c>
      <c r="K9" s="18" t="n">
        <v>0</v>
      </c>
      <c r="L9" s="16">
        <f>I9*J9</f>
        <v/>
      </c>
      <c r="M9" s="16">
        <f>ROUND(L9*(1-K9),2)</f>
        <v/>
      </c>
      <c r="N9" s="16" t="n">
        <v>447</v>
      </c>
      <c r="O9" s="16">
        <f>I9*N9</f>
        <v/>
      </c>
      <c r="P9" s="18">
        <f>IFERROR((M9-O9)/M9,0)</f>
        <v/>
      </c>
      <c r="Q9" s="16" t="n">
        <v>0</v>
      </c>
      <c r="R9" s="9" t="inlineStr">
        <is>
          <t>Partner</t>
        </is>
      </c>
      <c r="S9" s="9" t="inlineStr">
        <is>
          <t>Sami Torres</t>
        </is>
      </c>
      <c r="T9" s="9" t="inlineStr">
        <is>
          <t>Shipped</t>
        </is>
      </c>
      <c r="U9" s="10" t="n">
        <v>13</v>
      </c>
      <c r="V9" s="9" t="inlineStr">
        <is>
          <t>Split shipment</t>
        </is>
      </c>
    </row>
    <row r="10">
      <c r="A10" s="7" t="inlineStr">
        <is>
          <t>AP-30060</t>
        </is>
      </c>
      <c r="B10" s="23" t="n">
        <v>46238</v>
      </c>
      <c r="C10" s="7">
        <f>TEXT(B10,"yyyy-mm")</f>
        <v/>
      </c>
      <c r="D10" s="7" t="inlineStr">
        <is>
          <t>NLG-027</t>
        </is>
      </c>
      <c r="E10" s="9" t="inlineStr">
        <is>
          <t>Northlight Group</t>
        </is>
      </c>
      <c r="F10" s="9" t="inlineStr">
        <is>
          <t>Central Florida</t>
        </is>
      </c>
      <c r="G10" s="9" t="inlineStr">
        <is>
          <t>Lakeland</t>
        </is>
      </c>
      <c r="H10" s="9" t="inlineStr">
        <is>
          <t>Meridian Pro</t>
        </is>
      </c>
      <c r="I10" s="10" t="n">
        <v>1</v>
      </c>
      <c r="J10" s="16" t="n">
        <v>7900</v>
      </c>
      <c r="K10" s="18" t="n">
        <v>0.05</v>
      </c>
      <c r="L10" s="16">
        <f>I10*J10</f>
        <v/>
      </c>
      <c r="M10" s="16">
        <f>ROUND(L10*(1-K10),2)</f>
        <v/>
      </c>
      <c r="N10" s="16" t="n">
        <v>4345</v>
      </c>
      <c r="O10" s="16">
        <f>I10*N10</f>
        <v/>
      </c>
      <c r="P10" s="18">
        <f>IFERROR((M10-O10)/M10,0)</f>
        <v/>
      </c>
      <c r="Q10" s="16" t="n">
        <v>82.17</v>
      </c>
      <c r="R10" s="9" t="inlineStr">
        <is>
          <t>Partner</t>
        </is>
      </c>
      <c r="S10" s="9" t="inlineStr">
        <is>
          <t>Morgan Reyes</t>
        </is>
      </c>
      <c r="T10" s="9" t="inlineStr">
        <is>
          <t>Shipped</t>
        </is>
      </c>
      <c r="U10" s="10" t="n">
        <v>14</v>
      </c>
      <c r="V10" s="9" t="inlineStr">
        <is>
          <t>Quote 2026-Q3 pricing</t>
        </is>
      </c>
    </row>
    <row r="11">
      <c r="A11" s="7" t="inlineStr">
        <is>
          <t>AP-30063</t>
        </is>
      </c>
      <c r="B11" s="23" t="n">
        <v>46217</v>
      </c>
      <c r="C11" s="7">
        <f>TEXT(B11,"yyyy-mm")</f>
        <v/>
      </c>
      <c r="D11" s="7" t="inlineStr">
        <is>
          <t>NLG-044</t>
        </is>
      </c>
      <c r="E11" s="9" t="inlineStr">
        <is>
          <t>Northlight Group</t>
        </is>
      </c>
      <c r="F11" s="9" t="inlineStr">
        <is>
          <t>Central Florida</t>
        </is>
      </c>
      <c r="G11" s="9" t="inlineStr">
        <is>
          <t>Brandon</t>
        </is>
      </c>
      <c r="H11" s="9" t="inlineStr">
        <is>
          <t>Atlas Care Plus</t>
        </is>
      </c>
      <c r="I11" s="10" t="n">
        <v>9</v>
      </c>
      <c r="J11" s="16" t="n">
        <v>1788</v>
      </c>
      <c r="K11" s="18" t="n">
        <v>0</v>
      </c>
      <c r="L11" s="16">
        <f>I11*J11</f>
        <v/>
      </c>
      <c r="M11" s="16">
        <f>ROUND(L11*(1-K11),2)</f>
        <v/>
      </c>
      <c r="N11" s="16" t="n">
        <v>447</v>
      </c>
      <c r="O11" s="16">
        <f>I11*N11</f>
        <v/>
      </c>
      <c r="P11" s="18">
        <f>IFERROR((M11-O11)/M11,0)</f>
        <v/>
      </c>
      <c r="Q11" s="16" t="n">
        <v>0</v>
      </c>
      <c r="R11" s="9" t="inlineStr">
        <is>
          <t>Partner</t>
        </is>
      </c>
      <c r="S11" s="9" t="inlineStr">
        <is>
          <t>Jordan Vale</t>
        </is>
      </c>
      <c r="T11" s="9" t="inlineStr">
        <is>
          <t>Invoiced</t>
        </is>
      </c>
      <c r="U11" s="10" t="n">
        <v>15</v>
      </c>
      <c r="V11" s="9" t="inlineStr">
        <is>
          <t>Quote 2026-Q3 pricing</t>
        </is>
      </c>
    </row>
    <row r="12">
      <c r="A12" s="7" t="inlineStr">
        <is>
          <t>AP-30073</t>
        </is>
      </c>
      <c r="B12" s="23" t="n">
        <v>46228</v>
      </c>
      <c r="C12" s="7">
        <f>TEXT(B12,"yyyy-mm")</f>
        <v/>
      </c>
      <c r="D12" s="7" t="inlineStr">
        <is>
          <t>NLG-011</t>
        </is>
      </c>
      <c r="E12" s="9" t="inlineStr">
        <is>
          <t>Northlight Group</t>
        </is>
      </c>
      <c r="F12" s="9" t="inlineStr">
        <is>
          <t>Gulf Coast</t>
        </is>
      </c>
      <c r="G12" s="9" t="inlineStr">
        <is>
          <t>Tampa</t>
        </is>
      </c>
      <c r="H12" s="9" t="inlineStr">
        <is>
          <t>Atlas Care Plus</t>
        </is>
      </c>
      <c r="I12" s="10" t="n">
        <v>1</v>
      </c>
      <c r="J12" s="16" t="n">
        <v>1788</v>
      </c>
      <c r="K12" s="18" t="n">
        <v>0</v>
      </c>
      <c r="L12" s="16">
        <f>I12*J12</f>
        <v/>
      </c>
      <c r="M12" s="16">
        <f>ROUND(L12*(1-K12),2)</f>
        <v/>
      </c>
      <c r="N12" s="16" t="n">
        <v>447</v>
      </c>
      <c r="O12" s="16">
        <f>I12*N12</f>
        <v/>
      </c>
      <c r="P12" s="18">
        <f>IFERROR((M12-O12)/M12,0)</f>
        <v/>
      </c>
      <c r="Q12" s="16" t="n">
        <v>0</v>
      </c>
      <c r="R12" s="9" t="inlineStr">
        <is>
          <t>Partner</t>
        </is>
      </c>
      <c r="S12" s="9" t="inlineStr">
        <is>
          <t>Morgan Reyes</t>
        </is>
      </c>
      <c r="T12" s="9" t="inlineStr">
        <is>
          <t>Open</t>
        </is>
      </c>
      <c r="U12" s="10" t="n">
        <v>16</v>
      </c>
      <c r="V12" s="9" t="inlineStr">
        <is>
          <t>Renewal</t>
        </is>
      </c>
    </row>
    <row r="13">
      <c r="A13" s="7" t="inlineStr">
        <is>
          <t>AP-30079</t>
        </is>
      </c>
      <c r="B13" s="23" t="n">
        <v>46217</v>
      </c>
      <c r="C13" s="7">
        <f>TEXT(B13,"yyyy-mm")</f>
        <v/>
      </c>
      <c r="D13" s="7" t="inlineStr">
        <is>
          <t>DIR-000</t>
        </is>
      </c>
      <c r="E13" s="9" t="inlineStr">
        <is>
          <t>Apex Instruments direct</t>
        </is>
      </c>
      <c r="F13" s="9" t="inlineStr">
        <is>
          <t>House</t>
        </is>
      </c>
      <c r="G13" s="9" t="inlineStr">
        <is>
          <t>Tampa</t>
        </is>
      </c>
      <c r="H13" s="9" t="inlineStr">
        <is>
          <t>On-site training</t>
        </is>
      </c>
      <c r="I13" s="10" t="n">
        <v>3</v>
      </c>
      <c r="J13" s="16" t="n">
        <v>650</v>
      </c>
      <c r="K13" s="18" t="n">
        <v>0.05</v>
      </c>
      <c r="L13" s="16">
        <f>I13*J13</f>
        <v/>
      </c>
      <c r="M13" s="16">
        <f>ROUND(L13*(1-K13),2)</f>
        <v/>
      </c>
      <c r="N13" s="16" t="n">
        <v>429</v>
      </c>
      <c r="O13" s="16">
        <f>I13*N13</f>
        <v/>
      </c>
      <c r="P13" s="18">
        <f>IFERROR((M13-O13)/M13,0)</f>
        <v/>
      </c>
      <c r="Q13" s="16" t="n">
        <v>0</v>
      </c>
      <c r="R13" s="9" t="inlineStr">
        <is>
          <t>Direct</t>
        </is>
      </c>
      <c r="S13" s="9" t="inlineStr">
        <is>
          <t>Avery Kellen</t>
        </is>
      </c>
      <c r="T13" s="9" t="inlineStr">
        <is>
          <t>Invoiced</t>
        </is>
      </c>
      <c r="U13" s="10" t="n">
        <v>17</v>
      </c>
      <c r="V13" s="9" t="inlineStr"/>
    </row>
    <row r="14">
      <c r="A14" s="7" t="inlineStr">
        <is>
          <t>AP-30086</t>
        </is>
      </c>
      <c r="B14" s="23" t="n">
        <v>46271</v>
      </c>
      <c r="C14" s="7">
        <f>TEXT(B14,"yyyy-mm")</f>
        <v/>
      </c>
      <c r="D14" s="7" t="inlineStr">
        <is>
          <t>NLG-036</t>
        </is>
      </c>
      <c r="E14" s="9" t="inlineStr">
        <is>
          <t>Northlight Group</t>
        </is>
      </c>
      <c r="F14" s="9" t="inlineStr">
        <is>
          <t>Gulf Coast</t>
        </is>
      </c>
      <c r="G14" s="9" t="inlineStr">
        <is>
          <t>Clearwater</t>
        </is>
      </c>
      <c r="H14" s="9" t="inlineStr">
        <is>
          <t>Meridian Field Kit</t>
        </is>
      </c>
      <c r="I14" s="10" t="n">
        <v>4</v>
      </c>
      <c r="J14" s="16" t="n">
        <v>1240</v>
      </c>
      <c r="K14" s="18" t="n">
        <v>0.08</v>
      </c>
      <c r="L14" s="16">
        <f>I14*J14</f>
        <v/>
      </c>
      <c r="M14" s="16">
        <f>ROUND(L14*(1-K14),2)</f>
        <v/>
      </c>
      <c r="N14" s="16" t="n">
        <v>806</v>
      </c>
      <c r="O14" s="16">
        <f>I14*N14</f>
        <v/>
      </c>
      <c r="P14" s="18">
        <f>IFERROR((M14-O14)/M14,0)</f>
        <v/>
      </c>
      <c r="Q14" s="16" t="n">
        <v>139.35</v>
      </c>
      <c r="R14" s="9" t="inlineStr">
        <is>
          <t>Partner</t>
        </is>
      </c>
      <c r="S14" s="9" t="inlineStr">
        <is>
          <t>Sami Torres</t>
        </is>
      </c>
      <c r="T14" s="9" t="inlineStr">
        <is>
          <t>Open</t>
        </is>
      </c>
      <c r="U14" s="10" t="n">
        <v>18</v>
      </c>
      <c r="V14" s="9" t="inlineStr"/>
    </row>
    <row r="15">
      <c r="A15" s="7" t="inlineStr">
        <is>
          <t>AP-30091</t>
        </is>
      </c>
      <c r="B15" s="23" t="n">
        <v>46214</v>
      </c>
      <c r="C15" s="7">
        <f>TEXT(B15,"yyyy-mm")</f>
        <v/>
      </c>
      <c r="D15" s="7" t="inlineStr">
        <is>
          <t>NLG-011</t>
        </is>
      </c>
      <c r="E15" s="9" t="inlineStr">
        <is>
          <t>Northlight Group</t>
        </is>
      </c>
      <c r="F15" s="9" t="inlineStr">
        <is>
          <t>Gulf Coast</t>
        </is>
      </c>
      <c r="G15" s="9" t="inlineStr">
        <is>
          <t>Tampa</t>
        </is>
      </c>
      <c r="H15" s="9" t="inlineStr">
        <is>
          <t>Atlas Care Plus</t>
        </is>
      </c>
      <c r="I15" s="10" t="n">
        <v>12</v>
      </c>
      <c r="J15" s="16" t="n">
        <v>1788</v>
      </c>
      <c r="K15" s="18" t="n">
        <v>0.08</v>
      </c>
      <c r="L15" s="16">
        <f>I15*J15</f>
        <v/>
      </c>
      <c r="M15" s="16">
        <f>ROUND(L15*(1-K15),2)</f>
        <v/>
      </c>
      <c r="N15" s="16" t="n">
        <v>447</v>
      </c>
      <c r="O15" s="16">
        <f>I15*N15</f>
        <v/>
      </c>
      <c r="P15" s="18">
        <f>IFERROR((M15-O15)/M15,0)</f>
        <v/>
      </c>
      <c r="Q15" s="16" t="n">
        <v>0</v>
      </c>
      <c r="R15" s="9" t="inlineStr">
        <is>
          <t>Partner</t>
        </is>
      </c>
      <c r="S15" s="9" t="inlineStr">
        <is>
          <t>Sami Torres</t>
        </is>
      </c>
      <c r="T15" s="9" t="inlineStr">
        <is>
          <t>Shipped</t>
        </is>
      </c>
      <c r="U15" s="10" t="n">
        <v>19</v>
      </c>
      <c r="V15" s="9" t="inlineStr">
        <is>
          <t>Split shipment</t>
        </is>
      </c>
    </row>
    <row r="16">
      <c r="A16" s="7" t="inlineStr">
        <is>
          <t>AP-30098</t>
        </is>
      </c>
      <c r="B16" s="23" t="n">
        <v>46294</v>
      </c>
      <c r="C16" s="7">
        <f>TEXT(B16,"yyyy-mm")</f>
        <v/>
      </c>
      <c r="D16" s="7" t="inlineStr">
        <is>
          <t>NLG-031</t>
        </is>
      </c>
      <c r="E16" s="9" t="inlineStr">
        <is>
          <t>Northlight Group</t>
        </is>
      </c>
      <c r="F16" s="9" t="inlineStr">
        <is>
          <t>Gulf Coast</t>
        </is>
      </c>
      <c r="G16" s="9" t="inlineStr">
        <is>
          <t>Sarasota</t>
        </is>
      </c>
      <c r="H16" s="9" t="inlineStr">
        <is>
          <t>Calibration service</t>
        </is>
      </c>
      <c r="I16" s="10" t="n">
        <v>6</v>
      </c>
      <c r="J16" s="16" t="n">
        <v>180</v>
      </c>
      <c r="K16" s="18" t="n">
        <v>0</v>
      </c>
      <c r="L16" s="16">
        <f>I16*J16</f>
        <v/>
      </c>
      <c r="M16" s="16">
        <f>ROUND(L16*(1-K16),2)</f>
        <v/>
      </c>
      <c r="N16" s="16" t="n">
        <v>99</v>
      </c>
      <c r="O16" s="16">
        <f>I16*N16</f>
        <v/>
      </c>
      <c r="P16" s="18">
        <f>IFERROR((M16-O16)/M16,0)</f>
        <v/>
      </c>
      <c r="Q16" s="16" t="n">
        <v>0</v>
      </c>
      <c r="R16" s="9" t="inlineStr">
        <is>
          <t>Partner</t>
        </is>
      </c>
      <c r="S16" s="9" t="inlineStr">
        <is>
          <t>Jordan Vale</t>
        </is>
      </c>
      <c r="T16" s="9" t="inlineStr">
        <is>
          <t>Shipped</t>
        </is>
      </c>
      <c r="U16" s="10" t="n">
        <v>20</v>
      </c>
      <c r="V16" s="9" t="inlineStr">
        <is>
          <t>Rush requested</t>
        </is>
      </c>
    </row>
    <row r="17">
      <c r="A17" s="7" t="inlineStr">
        <is>
          <t>AP-30108</t>
        </is>
      </c>
      <c r="B17" s="23" t="n">
        <v>46207</v>
      </c>
      <c r="C17" s="7">
        <f>TEXT(B17,"yyyy-mm")</f>
        <v/>
      </c>
      <c r="D17" s="7" t="inlineStr">
        <is>
          <t>NLG-031</t>
        </is>
      </c>
      <c r="E17" s="9" t="inlineStr">
        <is>
          <t>Northlight Group</t>
        </is>
      </c>
      <c r="F17" s="9" t="inlineStr">
        <is>
          <t>Gulf Coast</t>
        </is>
      </c>
      <c r="G17" s="9" t="inlineStr">
        <is>
          <t>Sarasota</t>
        </is>
      </c>
      <c r="H17" s="9" t="inlineStr">
        <is>
          <t>Meridian Pro</t>
        </is>
      </c>
      <c r="I17" s="10" t="n">
        <v>1</v>
      </c>
      <c r="J17" s="16" t="n">
        <v>7900</v>
      </c>
      <c r="K17" s="18" t="n">
        <v>0.05</v>
      </c>
      <c r="L17" s="16">
        <f>I17*J17</f>
        <v/>
      </c>
      <c r="M17" s="16">
        <f>ROUND(L17*(1-K17),2)</f>
        <v/>
      </c>
      <c r="N17" s="16" t="n">
        <v>4345</v>
      </c>
      <c r="O17" s="16">
        <f>I17*N17</f>
        <v/>
      </c>
      <c r="P17" s="18">
        <f>IFERROR((M17-O17)/M17,0)</f>
        <v/>
      </c>
      <c r="Q17" s="16" t="n">
        <v>56.5</v>
      </c>
      <c r="R17" s="9" t="inlineStr">
        <is>
          <t>Partner</t>
        </is>
      </c>
      <c r="S17" s="9" t="inlineStr">
        <is>
          <t>Sami Torres</t>
        </is>
      </c>
      <c r="T17" s="9" t="inlineStr">
        <is>
          <t>Invoiced</t>
        </is>
      </c>
      <c r="U17" s="10" t="n">
        <v>21</v>
      </c>
      <c r="V17" s="9" t="inlineStr">
        <is>
          <t>Split shipment</t>
        </is>
      </c>
    </row>
    <row r="18">
      <c r="A18" s="7" t="inlineStr">
        <is>
          <t>AP-30112</t>
        </is>
      </c>
      <c r="B18" s="23" t="n">
        <v>46257</v>
      </c>
      <c r="C18" s="7">
        <f>TEXT(B18,"yyyy-mm")</f>
        <v/>
      </c>
      <c r="D18" s="7" t="inlineStr">
        <is>
          <t>NLG-022</t>
        </is>
      </c>
      <c r="E18" s="9" t="inlineStr">
        <is>
          <t>Northlight Group</t>
        </is>
      </c>
      <c r="F18" s="9" t="inlineStr">
        <is>
          <t>Central Florida</t>
        </is>
      </c>
      <c r="G18" s="9" t="inlineStr">
        <is>
          <t>Orlando</t>
        </is>
      </c>
      <c r="H18" s="9" t="inlineStr">
        <is>
          <t>Calibration service</t>
        </is>
      </c>
      <c r="I18" s="10" t="n">
        <v>1</v>
      </c>
      <c r="J18" s="16" t="n">
        <v>180</v>
      </c>
      <c r="K18" s="18" t="n">
        <v>0.05</v>
      </c>
      <c r="L18" s="16">
        <f>I18*J18</f>
        <v/>
      </c>
      <c r="M18" s="16">
        <f>ROUND(L18*(1-K18),2)</f>
        <v/>
      </c>
      <c r="N18" s="16" t="n">
        <v>99</v>
      </c>
      <c r="O18" s="16">
        <f>I18*N18</f>
        <v/>
      </c>
      <c r="P18" s="18">
        <f>IFERROR((M18-O18)/M18,0)</f>
        <v/>
      </c>
      <c r="Q18" s="16" t="n">
        <v>0</v>
      </c>
      <c r="R18" s="9" t="inlineStr">
        <is>
          <t>Partner</t>
        </is>
      </c>
      <c r="S18" s="9" t="inlineStr">
        <is>
          <t>Sami Torres</t>
        </is>
      </c>
      <c r="T18" s="9" t="inlineStr">
        <is>
          <t>Open</t>
        </is>
      </c>
      <c r="U18" s="10" t="n">
        <v>22</v>
      </c>
      <c r="V18" s="9" t="inlineStr">
        <is>
          <t>Split shipment</t>
        </is>
      </c>
    </row>
    <row r="19">
      <c r="A19" s="7" t="inlineStr">
        <is>
          <t>AP-30121</t>
        </is>
      </c>
      <c r="B19" s="23" t="n">
        <v>46257</v>
      </c>
      <c r="C19" s="7">
        <f>TEXT(B19,"yyyy-mm")</f>
        <v/>
      </c>
      <c r="D19" s="7" t="inlineStr">
        <is>
          <t>NLG-031</t>
        </is>
      </c>
      <c r="E19" s="9" t="inlineStr">
        <is>
          <t>Northlight Group</t>
        </is>
      </c>
      <c r="F19" s="9" t="inlineStr">
        <is>
          <t>Gulf Coast</t>
        </is>
      </c>
      <c r="G19" s="9" t="inlineStr">
        <is>
          <t>Sarasota</t>
        </is>
      </c>
      <c r="H19" s="9" t="inlineStr">
        <is>
          <t>Calibration service</t>
        </is>
      </c>
      <c r="I19" s="10" t="n">
        <v>4</v>
      </c>
      <c r="J19" s="16" t="n">
        <v>180</v>
      </c>
      <c r="K19" s="18" t="n">
        <v>0.03</v>
      </c>
      <c r="L19" s="16">
        <f>I19*J19</f>
        <v/>
      </c>
      <c r="M19" s="16">
        <f>ROUND(L19*(1-K19),2)</f>
        <v/>
      </c>
      <c r="N19" s="16" t="n">
        <v>99</v>
      </c>
      <c r="O19" s="16">
        <f>I19*N19</f>
        <v/>
      </c>
      <c r="P19" s="18">
        <f>IFERROR((M19-O19)/M19,0)</f>
        <v/>
      </c>
      <c r="Q19" s="16" t="n">
        <v>0</v>
      </c>
      <c r="R19" s="9" t="inlineStr">
        <is>
          <t>Partner</t>
        </is>
      </c>
      <c r="S19" s="9" t="inlineStr">
        <is>
          <t>Avery Kellen</t>
        </is>
      </c>
      <c r="T19" s="9" t="inlineStr">
        <is>
          <t>Invoiced</t>
        </is>
      </c>
      <c r="U19" s="10" t="n">
        <v>23</v>
      </c>
      <c r="V19" s="9" t="inlineStr">
        <is>
          <t>Split shipment</t>
        </is>
      </c>
    </row>
    <row r="20">
      <c r="A20" s="7" t="inlineStr">
        <is>
          <t>AP-30130</t>
        </is>
      </c>
      <c r="B20" s="23" t="n">
        <v>46224</v>
      </c>
      <c r="C20" s="7">
        <f>TEXT(B20,"yyyy-mm")</f>
        <v/>
      </c>
      <c r="D20" s="7" t="inlineStr">
        <is>
          <t>NLG-022</t>
        </is>
      </c>
      <c r="E20" s="9" t="inlineStr">
        <is>
          <t>Northlight Group</t>
        </is>
      </c>
      <c r="F20" s="9" t="inlineStr">
        <is>
          <t>Central Florida</t>
        </is>
      </c>
      <c r="G20" s="9" t="inlineStr">
        <is>
          <t>Orlando</t>
        </is>
      </c>
      <c r="H20" s="9" t="inlineStr">
        <is>
          <t>Meridian Field Kit</t>
        </is>
      </c>
      <c r="I20" s="10" t="n">
        <v>7</v>
      </c>
      <c r="J20" s="16" t="n">
        <v>1240</v>
      </c>
      <c r="K20" s="18" t="n">
        <v>0.03</v>
      </c>
      <c r="L20" s="16">
        <f>I20*J20</f>
        <v/>
      </c>
      <c r="M20" s="16">
        <f>ROUND(L20*(1-K20),2)</f>
        <v/>
      </c>
      <c r="N20" s="16" t="n">
        <v>806</v>
      </c>
      <c r="O20" s="16">
        <f>I20*N20</f>
        <v/>
      </c>
      <c r="P20" s="18">
        <f>IFERROR((M20-O20)/M20,0)</f>
        <v/>
      </c>
      <c r="Q20" s="16" t="n">
        <v>0</v>
      </c>
      <c r="R20" s="9" t="inlineStr">
        <is>
          <t>Partner</t>
        </is>
      </c>
      <c r="S20" s="9" t="inlineStr">
        <is>
          <t>Morgan Reyes</t>
        </is>
      </c>
      <c r="T20" s="9" t="inlineStr">
        <is>
          <t>Invoiced</t>
        </is>
      </c>
      <c r="U20" s="10" t="n">
        <v>24</v>
      </c>
      <c r="V20" s="9" t="inlineStr">
        <is>
          <t>Split shipment</t>
        </is>
      </c>
    </row>
    <row r="21">
      <c r="A21" s="7" t="inlineStr">
        <is>
          <t>AP-30135</t>
        </is>
      </c>
      <c r="B21" s="23" t="n">
        <v>46278</v>
      </c>
      <c r="C21" s="7">
        <f>TEXT(B21,"yyyy-mm")</f>
        <v/>
      </c>
      <c r="D21" s="7" t="inlineStr">
        <is>
          <t>NLG-014</t>
        </is>
      </c>
      <c r="E21" s="9" t="inlineStr">
        <is>
          <t>Northlight Group</t>
        </is>
      </c>
      <c r="F21" s="9" t="inlineStr">
        <is>
          <t>Gulf Coast</t>
        </is>
      </c>
      <c r="G21" s="9" t="inlineStr">
        <is>
          <t>St. Petersburg</t>
        </is>
      </c>
      <c r="H21" s="9" t="inlineStr">
        <is>
          <t>Meridian Field Kit</t>
        </is>
      </c>
      <c r="I21" s="10" t="n">
        <v>7</v>
      </c>
      <c r="J21" s="16" t="n">
        <v>1240</v>
      </c>
      <c r="K21" s="18" t="n">
        <v>0.08</v>
      </c>
      <c r="L21" s="16">
        <f>I21*J21</f>
        <v/>
      </c>
      <c r="M21" s="16">
        <f>ROUND(L21*(1-K21),2)</f>
        <v/>
      </c>
      <c r="N21" s="16" t="n">
        <v>806</v>
      </c>
      <c r="O21" s="16">
        <f>I21*N21</f>
        <v/>
      </c>
      <c r="P21" s="18">
        <f>IFERROR((M21-O21)/M21,0)</f>
        <v/>
      </c>
      <c r="Q21" s="16" t="n">
        <v>179.94</v>
      </c>
      <c r="R21" s="9" t="inlineStr">
        <is>
          <t>Partner</t>
        </is>
      </c>
      <c r="S21" s="9" t="inlineStr">
        <is>
          <t>Morgan Reyes</t>
        </is>
      </c>
      <c r="T21" s="9" t="inlineStr">
        <is>
          <t>Shipped</t>
        </is>
      </c>
      <c r="U21" s="10" t="n">
        <v>25</v>
      </c>
      <c r="V21" s="9" t="inlineStr"/>
    </row>
    <row r="22">
      <c r="A22" s="7" t="inlineStr">
        <is>
          <t>AP-30142</t>
        </is>
      </c>
      <c r="B22" s="23" t="n">
        <v>46242</v>
      </c>
      <c r="C22" s="7">
        <f>TEXT(B22,"yyyy-mm")</f>
        <v/>
      </c>
      <c r="D22" s="7" t="inlineStr">
        <is>
          <t>NLG-027</t>
        </is>
      </c>
      <c r="E22" s="9" t="inlineStr">
        <is>
          <t>Northlight Group</t>
        </is>
      </c>
      <c r="F22" s="9" t="inlineStr">
        <is>
          <t>Central Florida</t>
        </is>
      </c>
      <c r="G22" s="9" t="inlineStr">
        <is>
          <t>Lakeland</t>
        </is>
      </c>
      <c r="H22" s="9" t="inlineStr">
        <is>
          <t>Meridian Field Kit</t>
        </is>
      </c>
      <c r="I22" s="10" t="n">
        <v>3</v>
      </c>
      <c r="J22" s="16" t="n">
        <v>1240</v>
      </c>
      <c r="K22" s="18" t="n">
        <v>0.08</v>
      </c>
      <c r="L22" s="16">
        <f>I22*J22</f>
        <v/>
      </c>
      <c r="M22" s="16">
        <f>ROUND(L22*(1-K22),2)</f>
        <v/>
      </c>
      <c r="N22" s="16" t="n">
        <v>806</v>
      </c>
      <c r="O22" s="16">
        <f>I22*N22</f>
        <v/>
      </c>
      <c r="P22" s="18">
        <f>IFERROR((M22-O22)/M22,0)</f>
        <v/>
      </c>
      <c r="Q22" s="16" t="n">
        <v>182.22</v>
      </c>
      <c r="R22" s="9" t="inlineStr">
        <is>
          <t>Partner</t>
        </is>
      </c>
      <c r="S22" s="9" t="inlineStr">
        <is>
          <t>Avery Kellen</t>
        </is>
      </c>
      <c r="T22" s="9" t="inlineStr">
        <is>
          <t>Shipped</t>
        </is>
      </c>
      <c r="U22" s="10" t="n">
        <v>26</v>
      </c>
      <c r="V22" s="9" t="inlineStr">
        <is>
          <t>Renewal</t>
        </is>
      </c>
    </row>
    <row r="23">
      <c r="A23" s="7" t="inlineStr">
        <is>
          <t>AP-30147</t>
        </is>
      </c>
      <c r="B23" s="23" t="n">
        <v>46289</v>
      </c>
      <c r="C23" s="7">
        <f>TEXT(B23,"yyyy-mm")</f>
        <v/>
      </c>
      <c r="D23" s="7" t="inlineStr">
        <is>
          <t>NLG-014</t>
        </is>
      </c>
      <c r="E23" s="9" t="inlineStr">
        <is>
          <t>Northlight Group</t>
        </is>
      </c>
      <c r="F23" s="9" t="inlineStr">
        <is>
          <t>Gulf Coast</t>
        </is>
      </c>
      <c r="G23" s="9" t="inlineStr">
        <is>
          <t>St. Petersburg</t>
        </is>
      </c>
      <c r="H23" s="9" t="inlineStr">
        <is>
          <t>Calibration service</t>
        </is>
      </c>
      <c r="I23" s="10" t="n">
        <v>3</v>
      </c>
      <c r="J23" s="16" t="n">
        <v>180</v>
      </c>
      <c r="K23" s="18" t="n">
        <v>0</v>
      </c>
      <c r="L23" s="16">
        <f>I23*J23</f>
        <v/>
      </c>
      <c r="M23" s="16">
        <f>ROUND(L23*(1-K23),2)</f>
        <v/>
      </c>
      <c r="N23" s="16" t="n">
        <v>99</v>
      </c>
      <c r="O23" s="16">
        <f>I23*N23</f>
        <v/>
      </c>
      <c r="P23" s="18">
        <f>IFERROR((M23-O23)/M23,0)</f>
        <v/>
      </c>
      <c r="Q23" s="16" t="n">
        <v>0</v>
      </c>
      <c r="R23" s="9" t="inlineStr">
        <is>
          <t>Partner</t>
        </is>
      </c>
      <c r="S23" s="9" t="inlineStr">
        <is>
          <t>Jordan Vale</t>
        </is>
      </c>
      <c r="T23" s="9" t="inlineStr">
        <is>
          <t>Shipped</t>
        </is>
      </c>
      <c r="U23" s="10" t="n">
        <v>27</v>
      </c>
      <c r="V23" s="9" t="inlineStr">
        <is>
          <t>Backorder cleared</t>
        </is>
      </c>
    </row>
    <row r="24">
      <c r="A24" s="7" t="inlineStr">
        <is>
          <t>AP-30158</t>
        </is>
      </c>
      <c r="B24" s="23" t="n">
        <v>46277</v>
      </c>
      <c r="C24" s="7">
        <f>TEXT(B24,"yyyy-mm")</f>
        <v/>
      </c>
      <c r="D24" s="7" t="inlineStr">
        <is>
          <t>DIR-000</t>
        </is>
      </c>
      <c r="E24" s="9" t="inlineStr">
        <is>
          <t>Apex Instruments direct</t>
        </is>
      </c>
      <c r="F24" s="9" t="inlineStr">
        <is>
          <t>House</t>
        </is>
      </c>
      <c r="G24" s="9" t="inlineStr">
        <is>
          <t>Tampa</t>
        </is>
      </c>
      <c r="H24" s="9" t="inlineStr">
        <is>
          <t>Meridian Field Kit</t>
        </is>
      </c>
      <c r="I24" s="10" t="n">
        <v>7</v>
      </c>
      <c r="J24" s="16" t="n">
        <v>1240</v>
      </c>
      <c r="K24" s="18" t="n">
        <v>0.03</v>
      </c>
      <c r="L24" s="16">
        <f>I24*J24</f>
        <v/>
      </c>
      <c r="M24" s="16">
        <f>ROUND(L24*(1-K24),2)</f>
        <v/>
      </c>
      <c r="N24" s="16" t="n">
        <v>806</v>
      </c>
      <c r="O24" s="16">
        <f>I24*N24</f>
        <v/>
      </c>
      <c r="P24" s="18">
        <f>IFERROR((M24-O24)/M24,0)</f>
        <v/>
      </c>
      <c r="Q24" s="16" t="n">
        <v>169.19</v>
      </c>
      <c r="R24" s="9" t="inlineStr">
        <is>
          <t>Direct</t>
        </is>
      </c>
      <c r="S24" s="9" t="inlineStr">
        <is>
          <t>Jordan Vale</t>
        </is>
      </c>
      <c r="T24" s="9" t="inlineStr">
        <is>
          <t>Shipped</t>
        </is>
      </c>
      <c r="U24" s="10" t="n">
        <v>28</v>
      </c>
      <c r="V24" s="9" t="inlineStr"/>
    </row>
    <row r="25">
      <c r="A25" s="7" t="inlineStr">
        <is>
          <t>AP-30164</t>
        </is>
      </c>
      <c r="B25" s="23" t="n">
        <v>46209</v>
      </c>
      <c r="C25" s="7">
        <f>TEXT(B25,"yyyy-mm")</f>
        <v/>
      </c>
      <c r="D25" s="7" t="inlineStr">
        <is>
          <t>DIR-000</t>
        </is>
      </c>
      <c r="E25" s="9" t="inlineStr">
        <is>
          <t>Apex Instruments direct</t>
        </is>
      </c>
      <c r="F25" s="9" t="inlineStr">
        <is>
          <t>House</t>
        </is>
      </c>
      <c r="G25" s="9" t="inlineStr">
        <is>
          <t>Tampa</t>
        </is>
      </c>
      <c r="H25" s="9" t="inlineStr">
        <is>
          <t>Meridian Field Kit</t>
        </is>
      </c>
      <c r="I25" s="10" t="n">
        <v>2</v>
      </c>
      <c r="J25" s="16" t="n">
        <v>1240</v>
      </c>
      <c r="K25" s="18" t="n">
        <v>0</v>
      </c>
      <c r="L25" s="16">
        <f>I25*J25</f>
        <v/>
      </c>
      <c r="M25" s="16">
        <f>ROUND(L25*(1-K25),2)</f>
        <v/>
      </c>
      <c r="N25" s="16" t="n">
        <v>806</v>
      </c>
      <c r="O25" s="16">
        <f>I25*N25</f>
        <v/>
      </c>
      <c r="P25" s="18">
        <f>IFERROR((M25-O25)/M25,0)</f>
        <v/>
      </c>
      <c r="Q25" s="16" t="n">
        <v>184.65</v>
      </c>
      <c r="R25" s="9" t="inlineStr">
        <is>
          <t>Direct</t>
        </is>
      </c>
      <c r="S25" s="9" t="inlineStr">
        <is>
          <t>Sami Torres</t>
        </is>
      </c>
      <c r="T25" s="9" t="inlineStr">
        <is>
          <t>Open</t>
        </is>
      </c>
      <c r="U25" s="10" t="n">
        <v>29</v>
      </c>
      <c r="V25" s="9" t="inlineStr">
        <is>
          <t>Replaces damaged unit</t>
        </is>
      </c>
    </row>
    <row r="26">
      <c r="A26" s="7" t="inlineStr">
        <is>
          <t>AP-30171</t>
        </is>
      </c>
      <c r="B26" s="23" t="n">
        <v>46224</v>
      </c>
      <c r="C26" s="7">
        <f>TEXT(B26,"yyyy-mm")</f>
        <v/>
      </c>
      <c r="D26" s="7" t="inlineStr">
        <is>
          <t>NLG-011</t>
        </is>
      </c>
      <c r="E26" s="9" t="inlineStr">
        <is>
          <t>Northlight Group</t>
        </is>
      </c>
      <c r="F26" s="9" t="inlineStr">
        <is>
          <t>Gulf Coast</t>
        </is>
      </c>
      <c r="G26" s="9" t="inlineStr">
        <is>
          <t>Tampa</t>
        </is>
      </c>
      <c r="H26" s="9" t="inlineStr">
        <is>
          <t>Calibration service</t>
        </is>
      </c>
      <c r="I26" s="10" t="n">
        <v>3</v>
      </c>
      <c r="J26" s="16" t="n">
        <v>180</v>
      </c>
      <c r="K26" s="18" t="n">
        <v>0</v>
      </c>
      <c r="L26" s="16">
        <f>I26*J26</f>
        <v/>
      </c>
      <c r="M26" s="16">
        <f>ROUND(L26*(1-K26),2)</f>
        <v/>
      </c>
      <c r="N26" s="16" t="n">
        <v>99</v>
      </c>
      <c r="O26" s="16">
        <f>I26*N26</f>
        <v/>
      </c>
      <c r="P26" s="18">
        <f>IFERROR((M26-O26)/M26,0)</f>
        <v/>
      </c>
      <c r="Q26" s="16" t="n">
        <v>0</v>
      </c>
      <c r="R26" s="9" t="inlineStr">
        <is>
          <t>Partner</t>
        </is>
      </c>
      <c r="S26" s="9" t="inlineStr">
        <is>
          <t>Jordan Vale</t>
        </is>
      </c>
      <c r="T26" s="9" t="inlineStr">
        <is>
          <t>Invoiced</t>
        </is>
      </c>
      <c r="U26" s="10" t="n">
        <v>30</v>
      </c>
      <c r="V26" s="9" t="inlineStr">
        <is>
          <t>Rush requested</t>
        </is>
      </c>
    </row>
    <row r="27">
      <c r="A27" s="7" t="inlineStr">
        <is>
          <t>AP-30176</t>
        </is>
      </c>
      <c r="B27" s="23" t="n">
        <v>46226</v>
      </c>
      <c r="C27" s="7">
        <f>TEXT(B27,"yyyy-mm")</f>
        <v/>
      </c>
      <c r="D27" s="7" t="inlineStr">
        <is>
          <t>NLG-027</t>
        </is>
      </c>
      <c r="E27" s="9" t="inlineStr">
        <is>
          <t>Northlight Group</t>
        </is>
      </c>
      <c r="F27" s="9" t="inlineStr">
        <is>
          <t>Central Florida</t>
        </is>
      </c>
      <c r="G27" s="9" t="inlineStr">
        <is>
          <t>Lakeland</t>
        </is>
      </c>
      <c r="H27" s="9" t="inlineStr">
        <is>
          <t>Calibration service</t>
        </is>
      </c>
      <c r="I27" s="10" t="n">
        <v>4</v>
      </c>
      <c r="J27" s="16" t="n">
        <v>180</v>
      </c>
      <c r="K27" s="18" t="n">
        <v>0</v>
      </c>
      <c r="L27" s="16">
        <f>I27*J27</f>
        <v/>
      </c>
      <c r="M27" s="16">
        <f>ROUND(L27*(1-K27),2)</f>
        <v/>
      </c>
      <c r="N27" s="16" t="n">
        <v>99</v>
      </c>
      <c r="O27" s="16">
        <f>I27*N27</f>
        <v/>
      </c>
      <c r="P27" s="18">
        <f>IFERROR((M27-O27)/M27,0)</f>
        <v/>
      </c>
      <c r="Q27" s="16" t="n">
        <v>0</v>
      </c>
      <c r="R27" s="9" t="inlineStr">
        <is>
          <t>Partner</t>
        </is>
      </c>
      <c r="S27" s="9" t="inlineStr">
        <is>
          <t>Morgan Reyes</t>
        </is>
      </c>
      <c r="T27" s="9" t="inlineStr">
        <is>
          <t>Shipped</t>
        </is>
      </c>
      <c r="U27" s="10" t="n">
        <v>31</v>
      </c>
      <c r="V27" s="9" t="inlineStr">
        <is>
          <t>Quote 2026-Q3 pricing</t>
        </is>
      </c>
    </row>
    <row r="28">
      <c r="A28" s="7" t="inlineStr">
        <is>
          <t>AP-30184</t>
        </is>
      </c>
      <c r="B28" s="23" t="n">
        <v>46258</v>
      </c>
      <c r="C28" s="7">
        <f>TEXT(B28,"yyyy-mm")</f>
        <v/>
      </c>
      <c r="D28" s="7" t="inlineStr">
        <is>
          <t>NLG-011</t>
        </is>
      </c>
      <c r="E28" s="9" t="inlineStr">
        <is>
          <t>Northlight Group</t>
        </is>
      </c>
      <c r="F28" s="9" t="inlineStr">
        <is>
          <t>Gulf Coast</t>
        </is>
      </c>
      <c r="G28" s="9" t="inlineStr">
        <is>
          <t>Tampa</t>
        </is>
      </c>
      <c r="H28" s="9" t="inlineStr">
        <is>
          <t>Atlas Care Plus</t>
        </is>
      </c>
      <c r="I28" s="10" t="n">
        <v>7</v>
      </c>
      <c r="J28" s="16" t="n">
        <v>1788</v>
      </c>
      <c r="K28" s="18" t="n">
        <v>0</v>
      </c>
      <c r="L28" s="16">
        <f>I28*J28</f>
        <v/>
      </c>
      <c r="M28" s="16">
        <f>ROUND(L28*(1-K28),2)</f>
        <v/>
      </c>
      <c r="N28" s="16" t="n">
        <v>447</v>
      </c>
      <c r="O28" s="16">
        <f>I28*N28</f>
        <v/>
      </c>
      <c r="P28" s="18">
        <f>IFERROR((M28-O28)/M28,0)</f>
        <v/>
      </c>
      <c r="Q28" s="16" t="n">
        <v>0</v>
      </c>
      <c r="R28" s="9" t="inlineStr">
        <is>
          <t>Partner</t>
        </is>
      </c>
      <c r="S28" s="9" t="inlineStr">
        <is>
          <t>Morgan Reyes</t>
        </is>
      </c>
      <c r="T28" s="9" t="inlineStr">
        <is>
          <t>Shipped</t>
        </is>
      </c>
      <c r="U28" s="10" t="n">
        <v>32</v>
      </c>
      <c r="V28" s="9" t="inlineStr">
        <is>
          <t>PO on file</t>
        </is>
      </c>
    </row>
    <row r="29">
      <c r="A29" s="7" t="inlineStr">
        <is>
          <t>AP-30193</t>
        </is>
      </c>
      <c r="B29" s="23" t="n">
        <v>46275</v>
      </c>
      <c r="C29" s="7">
        <f>TEXT(B29,"yyyy-mm")</f>
        <v/>
      </c>
      <c r="D29" s="7" t="inlineStr">
        <is>
          <t>NLG-014</t>
        </is>
      </c>
      <c r="E29" s="9" t="inlineStr">
        <is>
          <t>Northlight Group</t>
        </is>
      </c>
      <c r="F29" s="9" t="inlineStr">
        <is>
          <t>Gulf Coast</t>
        </is>
      </c>
      <c r="G29" s="9" t="inlineStr">
        <is>
          <t>St. Petersburg</t>
        </is>
      </c>
      <c r="H29" s="9" t="inlineStr">
        <is>
          <t>On-site training</t>
        </is>
      </c>
      <c r="I29" s="10" t="n">
        <v>1</v>
      </c>
      <c r="J29" s="16" t="n">
        <v>650</v>
      </c>
      <c r="K29" s="18" t="n">
        <v>0</v>
      </c>
      <c r="L29" s="16">
        <f>I29*J29</f>
        <v/>
      </c>
      <c r="M29" s="16">
        <f>ROUND(L29*(1-K29),2)</f>
        <v/>
      </c>
      <c r="N29" s="16" t="n">
        <v>429</v>
      </c>
      <c r="O29" s="16">
        <f>I29*N29</f>
        <v/>
      </c>
      <c r="P29" s="18">
        <f>IFERROR((M29-O29)/M29,0)</f>
        <v/>
      </c>
      <c r="Q29" s="16" t="n">
        <v>0</v>
      </c>
      <c r="R29" s="9" t="inlineStr">
        <is>
          <t>Partner</t>
        </is>
      </c>
      <c r="S29" s="9" t="inlineStr">
        <is>
          <t>Morgan Reyes</t>
        </is>
      </c>
      <c r="T29" s="9" t="inlineStr">
        <is>
          <t>Shipped</t>
        </is>
      </c>
      <c r="U29" s="10" t="n">
        <v>33</v>
      </c>
      <c r="V29" s="9" t="inlineStr">
        <is>
          <t>PO on file</t>
        </is>
      </c>
    </row>
    <row r="30">
      <c r="A30" s="7" t="inlineStr">
        <is>
          <t>AP-30200</t>
        </is>
      </c>
      <c r="B30" s="23" t="n">
        <v>46263</v>
      </c>
      <c r="C30" s="7">
        <f>TEXT(B30,"yyyy-mm")</f>
        <v/>
      </c>
      <c r="D30" s="7" t="inlineStr">
        <is>
          <t>NLG-044</t>
        </is>
      </c>
      <c r="E30" s="9" t="inlineStr">
        <is>
          <t>Northlight Group</t>
        </is>
      </c>
      <c r="F30" s="9" t="inlineStr">
        <is>
          <t>Central Florida</t>
        </is>
      </c>
      <c r="G30" s="9" t="inlineStr">
        <is>
          <t>Brandon</t>
        </is>
      </c>
      <c r="H30" s="9" t="inlineStr">
        <is>
          <t>Atlas Care Plus</t>
        </is>
      </c>
      <c r="I30" s="10" t="n">
        <v>2</v>
      </c>
      <c r="J30" s="16" t="n">
        <v>1788</v>
      </c>
      <c r="K30" s="18" t="n">
        <v>0.03</v>
      </c>
      <c r="L30" s="16">
        <f>I30*J30</f>
        <v/>
      </c>
      <c r="M30" s="16">
        <f>ROUND(L30*(1-K30),2)</f>
        <v/>
      </c>
      <c r="N30" s="16" t="n">
        <v>447</v>
      </c>
      <c r="O30" s="16">
        <f>I30*N30</f>
        <v/>
      </c>
      <c r="P30" s="18">
        <f>IFERROR((M30-O30)/M30,0)</f>
        <v/>
      </c>
      <c r="Q30" s="16" t="n">
        <v>0</v>
      </c>
      <c r="R30" s="9" t="inlineStr">
        <is>
          <t>Partner</t>
        </is>
      </c>
      <c r="S30" s="9" t="inlineStr">
        <is>
          <t>Sami Torres</t>
        </is>
      </c>
      <c r="T30" s="9" t="inlineStr">
        <is>
          <t>Invoiced</t>
        </is>
      </c>
      <c r="U30" s="10" t="n">
        <v>34</v>
      </c>
      <c r="V30" s="9" t="inlineStr"/>
    </row>
    <row r="31">
      <c r="A31" s="7" t="inlineStr">
        <is>
          <t>AP-30205</t>
        </is>
      </c>
      <c r="B31" s="23" t="n">
        <v>46278</v>
      </c>
      <c r="C31" s="7">
        <f>TEXT(B31,"yyyy-mm")</f>
        <v/>
      </c>
      <c r="D31" s="7" t="inlineStr">
        <is>
          <t>NLG-011</t>
        </is>
      </c>
      <c r="E31" s="9" t="inlineStr">
        <is>
          <t>Northlight Group</t>
        </is>
      </c>
      <c r="F31" s="9" t="inlineStr">
        <is>
          <t>Gulf Coast</t>
        </is>
      </c>
      <c r="G31" s="9" t="inlineStr">
        <is>
          <t>Tampa</t>
        </is>
      </c>
      <c r="H31" s="9" t="inlineStr">
        <is>
          <t>Calibration service</t>
        </is>
      </c>
      <c r="I31" s="10" t="n">
        <v>2</v>
      </c>
      <c r="J31" s="16" t="n">
        <v>180</v>
      </c>
      <c r="K31" s="18" t="n">
        <v>0.12</v>
      </c>
      <c r="L31" s="16">
        <f>I31*J31</f>
        <v/>
      </c>
      <c r="M31" s="16">
        <f>ROUND(L31*(1-K31),2)</f>
        <v/>
      </c>
      <c r="N31" s="16" t="n">
        <v>99</v>
      </c>
      <c r="O31" s="16">
        <f>I31*N31</f>
        <v/>
      </c>
      <c r="P31" s="18">
        <f>IFERROR((M31-O31)/M31,0)</f>
        <v/>
      </c>
      <c r="Q31" s="16" t="n">
        <v>0</v>
      </c>
      <c r="R31" s="9" t="inlineStr">
        <is>
          <t>Partner</t>
        </is>
      </c>
      <c r="S31" s="9" t="inlineStr">
        <is>
          <t>Morgan Reyes</t>
        </is>
      </c>
      <c r="T31" s="9" t="inlineStr">
        <is>
          <t>Invoiced</t>
        </is>
      </c>
      <c r="U31" s="10" t="n">
        <v>35</v>
      </c>
      <c r="V31" s="9" t="inlineStr">
        <is>
          <t>Rush requested</t>
        </is>
      </c>
    </row>
    <row r="32">
      <c r="A32" s="7" t="inlineStr">
        <is>
          <t>AP-30213</t>
        </is>
      </c>
      <c r="B32" s="23" t="n">
        <v>46265</v>
      </c>
      <c r="C32" s="7">
        <f>TEXT(B32,"yyyy-mm")</f>
        <v/>
      </c>
      <c r="D32" s="7" t="inlineStr">
        <is>
          <t>NLG-031</t>
        </is>
      </c>
      <c r="E32" s="9" t="inlineStr">
        <is>
          <t>Northlight Group</t>
        </is>
      </c>
      <c r="F32" s="9" t="inlineStr">
        <is>
          <t>Gulf Coast</t>
        </is>
      </c>
      <c r="G32" s="9" t="inlineStr">
        <is>
          <t>Sarasota</t>
        </is>
      </c>
      <c r="H32" s="9" t="inlineStr">
        <is>
          <t>Meridian Pro</t>
        </is>
      </c>
      <c r="I32" s="10" t="n">
        <v>1</v>
      </c>
      <c r="J32" s="16" t="n">
        <v>7900</v>
      </c>
      <c r="K32" s="18" t="n">
        <v>0.1</v>
      </c>
      <c r="L32" s="16">
        <f>I32*J32</f>
        <v/>
      </c>
      <c r="M32" s="16">
        <f>ROUND(L32*(1-K32),2)</f>
        <v/>
      </c>
      <c r="N32" s="16" t="n">
        <v>4345</v>
      </c>
      <c r="O32" s="16">
        <f>I32*N32</f>
        <v/>
      </c>
      <c r="P32" s="18">
        <f>IFERROR((M32-O32)/M32,0)</f>
        <v/>
      </c>
      <c r="Q32" s="16" t="n">
        <v>112.99</v>
      </c>
      <c r="R32" s="9" t="inlineStr">
        <is>
          <t>Partner</t>
        </is>
      </c>
      <c r="S32" s="9" t="inlineStr">
        <is>
          <t>Jordan Vale</t>
        </is>
      </c>
      <c r="T32" s="9" t="inlineStr">
        <is>
          <t>Open</t>
        </is>
      </c>
      <c r="U32" s="10" t="n">
        <v>36</v>
      </c>
      <c r="V32" s="9" t="inlineStr">
        <is>
          <t>PO on file</t>
        </is>
      </c>
    </row>
    <row r="33">
      <c r="A33" s="7" t="inlineStr">
        <is>
          <t>AP-30219</t>
        </is>
      </c>
      <c r="B33" s="23" t="n">
        <v>46252</v>
      </c>
      <c r="C33" s="7">
        <f>TEXT(B33,"yyyy-mm")</f>
        <v/>
      </c>
      <c r="D33" s="7" t="inlineStr">
        <is>
          <t>NLG-031</t>
        </is>
      </c>
      <c r="E33" s="9" t="inlineStr">
        <is>
          <t>Northlight Group</t>
        </is>
      </c>
      <c r="F33" s="9" t="inlineStr">
        <is>
          <t>Gulf Coast</t>
        </is>
      </c>
      <c r="G33" s="9" t="inlineStr">
        <is>
          <t>Sarasota</t>
        </is>
      </c>
      <c r="H33" s="9" t="inlineStr">
        <is>
          <t>Meridian Field Kit</t>
        </is>
      </c>
      <c r="I33" s="10" t="n">
        <v>5</v>
      </c>
      <c r="J33" s="16" t="n">
        <v>1240</v>
      </c>
      <c r="K33" s="18" t="n">
        <v>0.05</v>
      </c>
      <c r="L33" s="16">
        <f>I33*J33</f>
        <v/>
      </c>
      <c r="M33" s="16">
        <f>ROUND(L33*(1-K33),2)</f>
        <v/>
      </c>
      <c r="N33" s="16" t="n">
        <v>806</v>
      </c>
      <c r="O33" s="16">
        <f>I33*N33</f>
        <v/>
      </c>
      <c r="P33" s="18">
        <f>IFERROR((M33-O33)/M33,0)</f>
        <v/>
      </c>
      <c r="Q33" s="16" t="n">
        <v>159.21</v>
      </c>
      <c r="R33" s="9" t="inlineStr">
        <is>
          <t>Partner</t>
        </is>
      </c>
      <c r="S33" s="9" t="inlineStr">
        <is>
          <t>Avery Kellen</t>
        </is>
      </c>
      <c r="T33" s="9" t="inlineStr">
        <is>
          <t>Open</t>
        </is>
      </c>
      <c r="U33" s="10" t="n">
        <v>37</v>
      </c>
      <c r="V33" s="9" t="inlineStr">
        <is>
          <t>Quote 2026-Q3 pricing</t>
        </is>
      </c>
    </row>
    <row r="34">
      <c r="A34" s="7" t="inlineStr">
        <is>
          <t>AP-30227</t>
        </is>
      </c>
      <c r="B34" s="23" t="n">
        <v>46241</v>
      </c>
      <c r="C34" s="7">
        <f>TEXT(B34,"yyyy-mm")</f>
        <v/>
      </c>
      <c r="D34" s="7" t="inlineStr">
        <is>
          <t>NLG-014</t>
        </is>
      </c>
      <c r="E34" s="9" t="inlineStr">
        <is>
          <t>Northlight Group</t>
        </is>
      </c>
      <c r="F34" s="9" t="inlineStr">
        <is>
          <t>Gulf Coast</t>
        </is>
      </c>
      <c r="G34" s="9" t="inlineStr">
        <is>
          <t>St. Petersburg</t>
        </is>
      </c>
      <c r="H34" s="9" t="inlineStr">
        <is>
          <t>Meridian Bench</t>
        </is>
      </c>
      <c r="I34" s="10" t="n">
        <v>3</v>
      </c>
      <c r="J34" s="16" t="n">
        <v>4850</v>
      </c>
      <c r="K34" s="18" t="n">
        <v>0</v>
      </c>
      <c r="L34" s="16">
        <f>I34*J34</f>
        <v/>
      </c>
      <c r="M34" s="16">
        <f>ROUND(L34*(1-K34),2)</f>
        <v/>
      </c>
      <c r="N34" s="16" t="n">
        <v>2910</v>
      </c>
      <c r="O34" s="16">
        <f>I34*N34</f>
        <v/>
      </c>
      <c r="P34" s="18">
        <f>IFERROR((M34-O34)/M34,0)</f>
        <v/>
      </c>
      <c r="Q34" s="16" t="n">
        <v>128.84</v>
      </c>
      <c r="R34" s="9" t="inlineStr">
        <is>
          <t>Partner</t>
        </is>
      </c>
      <c r="S34" s="9" t="inlineStr">
        <is>
          <t>Avery Kellen</t>
        </is>
      </c>
      <c r="T34" s="9" t="inlineStr">
        <is>
          <t>Shipped</t>
        </is>
      </c>
      <c r="U34" s="10" t="n">
        <v>38</v>
      </c>
      <c r="V34" s="9" t="inlineStr"/>
    </row>
    <row r="35">
      <c r="A35" s="7" t="inlineStr">
        <is>
          <t>AP-30232</t>
        </is>
      </c>
      <c r="B35" s="23" t="n">
        <v>46287</v>
      </c>
      <c r="C35" s="7">
        <f>TEXT(B35,"yyyy-mm")</f>
        <v/>
      </c>
      <c r="D35" s="7" t="inlineStr">
        <is>
          <t>DIR-000</t>
        </is>
      </c>
      <c r="E35" s="9" t="inlineStr">
        <is>
          <t>Apex Instruments direct</t>
        </is>
      </c>
      <c r="F35" s="9" t="inlineStr">
        <is>
          <t>House</t>
        </is>
      </c>
      <c r="G35" s="9" t="inlineStr">
        <is>
          <t>Tampa</t>
        </is>
      </c>
      <c r="H35" s="9" t="inlineStr">
        <is>
          <t>On-site training</t>
        </is>
      </c>
      <c r="I35" s="10" t="n">
        <v>1</v>
      </c>
      <c r="J35" s="16" t="n">
        <v>650</v>
      </c>
      <c r="K35" s="18" t="n">
        <v>0</v>
      </c>
      <c r="L35" s="16">
        <f>I35*J35</f>
        <v/>
      </c>
      <c r="M35" s="16">
        <f>ROUND(L35*(1-K35),2)</f>
        <v/>
      </c>
      <c r="N35" s="16" t="n">
        <v>429</v>
      </c>
      <c r="O35" s="16">
        <f>I35*N35</f>
        <v/>
      </c>
      <c r="P35" s="18">
        <f>IFERROR((M35-O35)/M35,0)</f>
        <v/>
      </c>
      <c r="Q35" s="16" t="n">
        <v>0</v>
      </c>
      <c r="R35" s="9" t="inlineStr">
        <is>
          <t>Direct</t>
        </is>
      </c>
      <c r="S35" s="9" t="inlineStr">
        <is>
          <t>Avery Kellen</t>
        </is>
      </c>
      <c r="T35" s="9" t="inlineStr">
        <is>
          <t>Shipped</t>
        </is>
      </c>
      <c r="U35" s="10" t="n">
        <v>39</v>
      </c>
      <c r="V35" s="9" t="inlineStr"/>
    </row>
    <row r="36">
      <c r="A36" s="7" t="inlineStr">
        <is>
          <t>AP-30241</t>
        </is>
      </c>
      <c r="B36" s="23" t="n">
        <v>46275</v>
      </c>
      <c r="C36" s="7">
        <f>TEXT(B36,"yyyy-mm")</f>
        <v/>
      </c>
      <c r="D36" s="7" t="inlineStr">
        <is>
          <t>NLG-014</t>
        </is>
      </c>
      <c r="E36" s="9" t="inlineStr">
        <is>
          <t>Northlight Group</t>
        </is>
      </c>
      <c r="F36" s="9" t="inlineStr">
        <is>
          <t>Gulf Coast</t>
        </is>
      </c>
      <c r="G36" s="9" t="inlineStr">
        <is>
          <t>St. Petersburg</t>
        </is>
      </c>
      <c r="H36" s="9" t="inlineStr">
        <is>
          <t>Meridian Bench</t>
        </is>
      </c>
      <c r="I36" s="10" t="n">
        <v>2</v>
      </c>
      <c r="J36" s="16" t="n">
        <v>4850</v>
      </c>
      <c r="K36" s="18" t="n">
        <v>0.05</v>
      </c>
      <c r="L36" s="16">
        <f>I36*J36</f>
        <v/>
      </c>
      <c r="M36" s="16">
        <f>ROUND(L36*(1-K36),2)</f>
        <v/>
      </c>
      <c r="N36" s="16" t="n">
        <v>2910</v>
      </c>
      <c r="O36" s="16">
        <f>I36*N36</f>
        <v/>
      </c>
      <c r="P36" s="18">
        <f>IFERROR((M36-O36)/M36,0)</f>
        <v/>
      </c>
      <c r="Q36" s="16" t="n">
        <v>74.40000000000001</v>
      </c>
      <c r="R36" s="9" t="inlineStr">
        <is>
          <t>Partner</t>
        </is>
      </c>
      <c r="S36" s="9" t="inlineStr">
        <is>
          <t>Morgan Reyes</t>
        </is>
      </c>
      <c r="T36" s="9" t="inlineStr">
        <is>
          <t>Shipped</t>
        </is>
      </c>
      <c r="U36" s="10" t="n">
        <v>40</v>
      </c>
      <c r="V36" s="9" t="inlineStr">
        <is>
          <t>Quote 2026-Q3 pricing</t>
        </is>
      </c>
    </row>
    <row r="37">
      <c r="A37" s="7" t="inlineStr">
        <is>
          <t>AP-30245</t>
        </is>
      </c>
      <c r="B37" s="23" t="n">
        <v>46253</v>
      </c>
      <c r="C37" s="7">
        <f>TEXT(B37,"yyyy-mm")</f>
        <v/>
      </c>
      <c r="D37" s="7" t="inlineStr">
        <is>
          <t>NLG-031</t>
        </is>
      </c>
      <c r="E37" s="9" t="inlineStr">
        <is>
          <t>Northlight Group</t>
        </is>
      </c>
      <c r="F37" s="9" t="inlineStr">
        <is>
          <t>Gulf Coast</t>
        </is>
      </c>
      <c r="G37" s="9" t="inlineStr">
        <is>
          <t>Sarasota</t>
        </is>
      </c>
      <c r="H37" s="9" t="inlineStr">
        <is>
          <t>Meridian Field Kit</t>
        </is>
      </c>
      <c r="I37" s="10" t="n">
        <v>6</v>
      </c>
      <c r="J37" s="16" t="n">
        <v>1240</v>
      </c>
      <c r="K37" s="18" t="n">
        <v>0.05</v>
      </c>
      <c r="L37" s="16">
        <f>I37*J37</f>
        <v/>
      </c>
      <c r="M37" s="16">
        <f>ROUND(L37*(1-K37),2)</f>
        <v/>
      </c>
      <c r="N37" s="16" t="n">
        <v>806</v>
      </c>
      <c r="O37" s="16">
        <f>I37*N37</f>
        <v/>
      </c>
      <c r="P37" s="18">
        <f>IFERROR((M37-O37)/M37,0)</f>
        <v/>
      </c>
      <c r="Q37" s="16" t="n">
        <v>135.49</v>
      </c>
      <c r="R37" s="9" t="inlineStr">
        <is>
          <t>Partner</t>
        </is>
      </c>
      <c r="S37" s="9" t="inlineStr">
        <is>
          <t>Jordan Vale</t>
        </is>
      </c>
      <c r="T37" s="9" t="inlineStr">
        <is>
          <t>Shipped</t>
        </is>
      </c>
      <c r="U37" s="10" t="n">
        <v>41</v>
      </c>
      <c r="V37" s="9" t="inlineStr"/>
    </row>
    <row r="38">
      <c r="A38" s="7" t="inlineStr">
        <is>
          <t>AP-30253</t>
        </is>
      </c>
      <c r="B38" s="23" t="n">
        <v>46284</v>
      </c>
      <c r="C38" s="7">
        <f>TEXT(B38,"yyyy-mm")</f>
        <v/>
      </c>
      <c r="D38" s="7" t="inlineStr">
        <is>
          <t>DIR-000</t>
        </is>
      </c>
      <c r="E38" s="9" t="inlineStr">
        <is>
          <t>Apex Instruments direct</t>
        </is>
      </c>
      <c r="F38" s="9" t="inlineStr">
        <is>
          <t>House</t>
        </is>
      </c>
      <c r="G38" s="9" t="inlineStr">
        <is>
          <t>Tampa</t>
        </is>
      </c>
      <c r="H38" s="9" t="inlineStr">
        <is>
          <t>Meridian Bench</t>
        </is>
      </c>
      <c r="I38" s="10" t="n">
        <v>1</v>
      </c>
      <c r="J38" s="16" t="n">
        <v>4850</v>
      </c>
      <c r="K38" s="18" t="n">
        <v>0.12</v>
      </c>
      <c r="L38" s="16">
        <f>I38*J38</f>
        <v/>
      </c>
      <c r="M38" s="16">
        <f>ROUND(L38*(1-K38),2)</f>
        <v/>
      </c>
      <c r="N38" s="16" t="n">
        <v>2910</v>
      </c>
      <c r="O38" s="16">
        <f>I38*N38</f>
        <v/>
      </c>
      <c r="P38" s="18">
        <f>IFERROR((M38-O38)/M38,0)</f>
        <v/>
      </c>
      <c r="Q38" s="16" t="n">
        <v>46.32</v>
      </c>
      <c r="R38" s="9" t="inlineStr">
        <is>
          <t>Direct</t>
        </is>
      </c>
      <c r="S38" s="9" t="inlineStr">
        <is>
          <t>Jordan Vale</t>
        </is>
      </c>
      <c r="T38" s="9" t="inlineStr">
        <is>
          <t>Shipped</t>
        </is>
      </c>
      <c r="U38" s="10" t="n">
        <v>42</v>
      </c>
      <c r="V38" s="9" t="inlineStr"/>
    </row>
    <row r="39">
      <c r="A39" s="7" t="inlineStr">
        <is>
          <t>AP-30267</t>
        </is>
      </c>
      <c r="B39" s="23" t="n">
        <v>46276</v>
      </c>
      <c r="C39" s="7">
        <f>TEXT(B39,"yyyy-mm")</f>
        <v/>
      </c>
      <c r="D39" s="7" t="inlineStr">
        <is>
          <t>NLG-011</t>
        </is>
      </c>
      <c r="E39" s="9" t="inlineStr">
        <is>
          <t>Northlight Group</t>
        </is>
      </c>
      <c r="F39" s="9" t="inlineStr">
        <is>
          <t>Gulf Coast</t>
        </is>
      </c>
      <c r="G39" s="9" t="inlineStr">
        <is>
          <t>Tampa</t>
        </is>
      </c>
      <c r="H39" s="9" t="inlineStr">
        <is>
          <t>Meridian Bench</t>
        </is>
      </c>
      <c r="I39" s="10" t="n">
        <v>1</v>
      </c>
      <c r="J39" s="16" t="n">
        <v>4850</v>
      </c>
      <c r="K39" s="18" t="n">
        <v>0</v>
      </c>
      <c r="L39" s="16">
        <f>I39*J39</f>
        <v/>
      </c>
      <c r="M39" s="16">
        <f>ROUND(L39*(1-K39),2)</f>
        <v/>
      </c>
      <c r="N39" s="16" t="n">
        <v>2910</v>
      </c>
      <c r="O39" s="16">
        <f>I39*N39</f>
        <v/>
      </c>
      <c r="P39" s="18">
        <f>IFERROR((M39-O39)/M39,0)</f>
        <v/>
      </c>
      <c r="Q39" s="16" t="n">
        <v>187.84</v>
      </c>
      <c r="R39" s="9" t="inlineStr">
        <is>
          <t>Partner</t>
        </is>
      </c>
      <c r="S39" s="9" t="inlineStr">
        <is>
          <t>Jordan Vale</t>
        </is>
      </c>
      <c r="T39" s="9" t="inlineStr">
        <is>
          <t>Invoiced</t>
        </is>
      </c>
      <c r="U39" s="10" t="n">
        <v>44</v>
      </c>
      <c r="V39" s="9" t="inlineStr">
        <is>
          <t>Rush requested</t>
        </is>
      </c>
    </row>
    <row r="40">
      <c r="A40" s="7" t="inlineStr">
        <is>
          <t>AP-30274</t>
        </is>
      </c>
      <c r="B40" s="23" t="n">
        <v>46263</v>
      </c>
      <c r="C40" s="7">
        <f>TEXT(B40,"yyyy-mm")</f>
        <v/>
      </c>
      <c r="D40" s="7" t="inlineStr">
        <is>
          <t>DIR-000</t>
        </is>
      </c>
      <c r="E40" s="9" t="inlineStr">
        <is>
          <t>Apex Instruments direct</t>
        </is>
      </c>
      <c r="F40" s="9" t="inlineStr">
        <is>
          <t>House</t>
        </is>
      </c>
      <c r="G40" s="9" t="inlineStr">
        <is>
          <t>Tampa</t>
        </is>
      </c>
      <c r="H40" s="9" t="inlineStr">
        <is>
          <t>On-site training</t>
        </is>
      </c>
      <c r="I40" s="10" t="n">
        <v>1</v>
      </c>
      <c r="J40" s="16" t="n">
        <v>650</v>
      </c>
      <c r="K40" s="18" t="n">
        <v>0</v>
      </c>
      <c r="L40" s="16">
        <f>I40*J40</f>
        <v/>
      </c>
      <c r="M40" s="16">
        <f>ROUND(L40*(1-K40),2)</f>
        <v/>
      </c>
      <c r="N40" s="16" t="n">
        <v>429</v>
      </c>
      <c r="O40" s="16">
        <f>I40*N40</f>
        <v/>
      </c>
      <c r="P40" s="18">
        <f>IFERROR((M40-O40)/M40,0)</f>
        <v/>
      </c>
      <c r="Q40" s="16" t="n">
        <v>0</v>
      </c>
      <c r="R40" s="9" t="inlineStr">
        <is>
          <t>Direct</t>
        </is>
      </c>
      <c r="S40" s="9" t="inlineStr">
        <is>
          <t>Sami Torres</t>
        </is>
      </c>
      <c r="T40" s="9" t="inlineStr">
        <is>
          <t>Shipped</t>
        </is>
      </c>
      <c r="U40" s="10" t="n">
        <v>45</v>
      </c>
      <c r="V40" s="9" t="inlineStr">
        <is>
          <t>Replaces damaged unit</t>
        </is>
      </c>
    </row>
    <row r="41">
      <c r="A41" s="7" t="inlineStr">
        <is>
          <t>AP-30280</t>
        </is>
      </c>
      <c r="B41" s="23" t="n">
        <v>46268</v>
      </c>
      <c r="C41" s="7">
        <f>TEXT(B41,"yyyy-mm")</f>
        <v/>
      </c>
      <c r="D41" s="7" t="inlineStr">
        <is>
          <t>DIR-000</t>
        </is>
      </c>
      <c r="E41" s="9" t="inlineStr">
        <is>
          <t>Apex Instruments direct</t>
        </is>
      </c>
      <c r="F41" s="9" t="inlineStr">
        <is>
          <t>House</t>
        </is>
      </c>
      <c r="G41" s="9" t="inlineStr">
        <is>
          <t>Tampa</t>
        </is>
      </c>
      <c r="H41" s="9" t="inlineStr">
        <is>
          <t>Meridian Bench</t>
        </is>
      </c>
      <c r="I41" s="10" t="n">
        <v>2</v>
      </c>
      <c r="J41" s="16" t="n">
        <v>4850</v>
      </c>
      <c r="K41" s="18" t="n">
        <v>0</v>
      </c>
      <c r="L41" s="16">
        <f>I41*J41</f>
        <v/>
      </c>
      <c r="M41" s="16">
        <f>ROUND(L41*(1-K41),2)</f>
        <v/>
      </c>
      <c r="N41" s="16" t="n">
        <v>2910</v>
      </c>
      <c r="O41" s="16">
        <f>I41*N41</f>
        <v/>
      </c>
      <c r="P41" s="18">
        <f>IFERROR((M41-O41)/M41,0)</f>
        <v/>
      </c>
      <c r="Q41" s="16" t="n">
        <v>149.44</v>
      </c>
      <c r="R41" s="9" t="inlineStr">
        <is>
          <t>Direct</t>
        </is>
      </c>
      <c r="S41" s="9" t="inlineStr">
        <is>
          <t>Morgan Reyes</t>
        </is>
      </c>
      <c r="T41" s="9" t="inlineStr">
        <is>
          <t>Open</t>
        </is>
      </c>
      <c r="U41" s="10" t="n">
        <v>46</v>
      </c>
      <c r="V41" s="9" t="inlineStr">
        <is>
          <t>PO on file</t>
        </is>
      </c>
    </row>
    <row r="42">
      <c r="A42" s="7" t="inlineStr">
        <is>
          <t>AP-30287</t>
        </is>
      </c>
      <c r="B42" s="23" t="n">
        <v>46261</v>
      </c>
      <c r="C42" s="7">
        <f>TEXT(B42,"yyyy-mm")</f>
        <v/>
      </c>
      <c r="D42" s="7" t="inlineStr">
        <is>
          <t>NLG-027</t>
        </is>
      </c>
      <c r="E42" s="9" t="inlineStr">
        <is>
          <t>Northlight Group</t>
        </is>
      </c>
      <c r="F42" s="9" t="inlineStr">
        <is>
          <t>Central Florida</t>
        </is>
      </c>
      <c r="G42" s="9" t="inlineStr">
        <is>
          <t>Lakeland</t>
        </is>
      </c>
      <c r="H42" s="9" t="inlineStr">
        <is>
          <t>Calibration service</t>
        </is>
      </c>
      <c r="I42" s="10" t="n">
        <v>4</v>
      </c>
      <c r="J42" s="16" t="n">
        <v>180</v>
      </c>
      <c r="K42" s="18" t="n">
        <v>0.08</v>
      </c>
      <c r="L42" s="16">
        <f>I42*J42</f>
        <v/>
      </c>
      <c r="M42" s="16">
        <f>ROUND(L42*(1-K42),2)</f>
        <v/>
      </c>
      <c r="N42" s="16" t="n">
        <v>99</v>
      </c>
      <c r="O42" s="16">
        <f>I42*N42</f>
        <v/>
      </c>
      <c r="P42" s="18">
        <f>IFERROR((M42-O42)/M42,0)</f>
        <v/>
      </c>
      <c r="Q42" s="16" t="n">
        <v>0</v>
      </c>
      <c r="R42" s="9" t="inlineStr">
        <is>
          <t>Partner</t>
        </is>
      </c>
      <c r="S42" s="9" t="inlineStr">
        <is>
          <t>Avery Kellen</t>
        </is>
      </c>
      <c r="T42" s="9" t="inlineStr">
        <is>
          <t>Shipped</t>
        </is>
      </c>
      <c r="U42" s="10" t="n">
        <v>47</v>
      </c>
      <c r="V42" s="9" t="inlineStr"/>
    </row>
    <row r="43">
      <c r="A43" s="7" t="inlineStr">
        <is>
          <t>AP-30294</t>
        </is>
      </c>
      <c r="B43" s="23" t="n">
        <v>46282</v>
      </c>
      <c r="C43" s="7">
        <f>TEXT(B43,"yyyy-mm")</f>
        <v/>
      </c>
      <c r="D43" s="7" t="inlineStr">
        <is>
          <t>NLG-027</t>
        </is>
      </c>
      <c r="E43" s="9" t="inlineStr">
        <is>
          <t>Northlight Group</t>
        </is>
      </c>
      <c r="F43" s="9" t="inlineStr">
        <is>
          <t>Central Florida</t>
        </is>
      </c>
      <c r="G43" s="9" t="inlineStr">
        <is>
          <t>Lakeland</t>
        </is>
      </c>
      <c r="H43" s="9" t="inlineStr">
        <is>
          <t>Atlas Care Plus</t>
        </is>
      </c>
      <c r="I43" s="10" t="n">
        <v>4</v>
      </c>
      <c r="J43" s="16" t="n">
        <v>1788</v>
      </c>
      <c r="K43" s="18" t="n">
        <v>0</v>
      </c>
      <c r="L43" s="16">
        <f>I43*J43</f>
        <v/>
      </c>
      <c r="M43" s="16">
        <f>ROUND(L43*(1-K43),2)</f>
        <v/>
      </c>
      <c r="N43" s="16" t="n">
        <v>447</v>
      </c>
      <c r="O43" s="16">
        <f>I43*N43</f>
        <v/>
      </c>
      <c r="P43" s="18">
        <f>IFERROR((M43-O43)/M43,0)</f>
        <v/>
      </c>
      <c r="Q43" s="16" t="n">
        <v>0</v>
      </c>
      <c r="R43" s="9" t="inlineStr">
        <is>
          <t>Partner</t>
        </is>
      </c>
      <c r="S43" s="9" t="inlineStr">
        <is>
          <t>Jordan Vale</t>
        </is>
      </c>
      <c r="T43" s="9" t="inlineStr">
        <is>
          <t>Invoiced</t>
        </is>
      </c>
      <c r="U43" s="10" t="n">
        <v>48</v>
      </c>
      <c r="V43" s="9" t="inlineStr"/>
    </row>
    <row r="44">
      <c r="A44" s="7" t="inlineStr">
        <is>
          <t>AP-30303</t>
        </is>
      </c>
      <c r="B44" s="23" t="n">
        <v>46285</v>
      </c>
      <c r="C44" s="7">
        <f>TEXT(B44,"yyyy-mm")</f>
        <v/>
      </c>
      <c r="D44" s="7" t="inlineStr">
        <is>
          <t>NLG-027</t>
        </is>
      </c>
      <c r="E44" s="9" t="inlineStr">
        <is>
          <t>Northlight Group</t>
        </is>
      </c>
      <c r="F44" s="9" t="inlineStr">
        <is>
          <t>Central Florida</t>
        </is>
      </c>
      <c r="G44" s="9" t="inlineStr">
        <is>
          <t>Lakeland</t>
        </is>
      </c>
      <c r="H44" s="9" t="inlineStr">
        <is>
          <t>Calibration service</t>
        </is>
      </c>
      <c r="I44" s="10" t="n">
        <v>2</v>
      </c>
      <c r="J44" s="16" t="n">
        <v>180</v>
      </c>
      <c r="K44" s="18" t="n">
        <v>0.08</v>
      </c>
      <c r="L44" s="16">
        <f>I44*J44</f>
        <v/>
      </c>
      <c r="M44" s="16">
        <f>ROUND(L44*(1-K44),2)</f>
        <v/>
      </c>
      <c r="N44" s="16" t="n">
        <v>99</v>
      </c>
      <c r="O44" s="16">
        <f>I44*N44</f>
        <v/>
      </c>
      <c r="P44" s="18">
        <f>IFERROR((M44-O44)/M44,0)</f>
        <v/>
      </c>
      <c r="Q44" s="16" t="n">
        <v>0</v>
      </c>
      <c r="R44" s="9" t="inlineStr">
        <is>
          <t>Partner</t>
        </is>
      </c>
      <c r="S44" s="9" t="inlineStr">
        <is>
          <t>Avery Kellen</t>
        </is>
      </c>
      <c r="T44" s="9" t="inlineStr">
        <is>
          <t>Shipped</t>
        </is>
      </c>
      <c r="U44" s="10" t="n">
        <v>49</v>
      </c>
      <c r="V44" s="9" t="inlineStr"/>
    </row>
    <row r="45">
      <c r="A45" s="7" t="inlineStr">
        <is>
          <t>AP-30310</t>
        </is>
      </c>
      <c r="B45" s="23" t="n">
        <v>46266</v>
      </c>
      <c r="C45" s="7">
        <f>TEXT(B45,"yyyy-mm")</f>
        <v/>
      </c>
      <c r="D45" s="7" t="inlineStr">
        <is>
          <t>DIR-000</t>
        </is>
      </c>
      <c r="E45" s="9" t="inlineStr">
        <is>
          <t>Apex Instruments direct</t>
        </is>
      </c>
      <c r="F45" s="9" t="inlineStr">
        <is>
          <t>House</t>
        </is>
      </c>
      <c r="G45" s="9" t="inlineStr">
        <is>
          <t>Tampa</t>
        </is>
      </c>
      <c r="H45" s="9" t="inlineStr">
        <is>
          <t>Calibration service</t>
        </is>
      </c>
      <c r="I45" s="10" t="n">
        <v>3</v>
      </c>
      <c r="J45" s="16" t="n">
        <v>180</v>
      </c>
      <c r="K45" s="18" t="n">
        <v>0.08</v>
      </c>
      <c r="L45" s="16">
        <f>I45*J45</f>
        <v/>
      </c>
      <c r="M45" s="16">
        <f>ROUND(L45*(1-K45),2)</f>
        <v/>
      </c>
      <c r="N45" s="16" t="n">
        <v>99</v>
      </c>
      <c r="O45" s="16">
        <f>I45*N45</f>
        <v/>
      </c>
      <c r="P45" s="18">
        <f>IFERROR((M45-O45)/M45,0)</f>
        <v/>
      </c>
      <c r="Q45" s="16" t="n">
        <v>0</v>
      </c>
      <c r="R45" s="9" t="inlineStr">
        <is>
          <t>Direct</t>
        </is>
      </c>
      <c r="S45" s="9" t="inlineStr">
        <is>
          <t>Morgan Reyes</t>
        </is>
      </c>
      <c r="T45" s="9" t="inlineStr">
        <is>
          <t>Invoiced</t>
        </is>
      </c>
      <c r="U45" s="10" t="n">
        <v>50</v>
      </c>
      <c r="V45" s="9" t="inlineStr"/>
    </row>
    <row r="46">
      <c r="A46" s="7" t="inlineStr">
        <is>
          <t>AP-30323</t>
        </is>
      </c>
      <c r="B46" s="23" t="n">
        <v>46208</v>
      </c>
      <c r="C46" s="7">
        <f>TEXT(B46,"yyyy-mm")</f>
        <v/>
      </c>
      <c r="D46" s="7" t="inlineStr">
        <is>
          <t>NLG-031</t>
        </is>
      </c>
      <c r="E46" s="9" t="inlineStr">
        <is>
          <t>Northlight Group</t>
        </is>
      </c>
      <c r="F46" s="9" t="inlineStr">
        <is>
          <t>Gulf Coast</t>
        </is>
      </c>
      <c r="G46" s="9" t="inlineStr">
        <is>
          <t>Sarasota</t>
        </is>
      </c>
      <c r="H46" s="9" t="inlineStr">
        <is>
          <t>Calibration service</t>
        </is>
      </c>
      <c r="I46" s="10" t="n">
        <v>2</v>
      </c>
      <c r="J46" s="16" t="n">
        <v>180</v>
      </c>
      <c r="K46" s="18" t="n">
        <v>0.05</v>
      </c>
      <c r="L46" s="16">
        <f>I46*J46</f>
        <v/>
      </c>
      <c r="M46" s="16">
        <f>ROUND(L46*(1-K46),2)</f>
        <v/>
      </c>
      <c r="N46" s="16" t="n">
        <v>99</v>
      </c>
      <c r="O46" s="16">
        <f>I46*N46</f>
        <v/>
      </c>
      <c r="P46" s="18">
        <f>IFERROR((M46-O46)/M46,0)</f>
        <v/>
      </c>
      <c r="Q46" s="16" t="n">
        <v>0</v>
      </c>
      <c r="R46" s="9" t="inlineStr">
        <is>
          <t>Partner</t>
        </is>
      </c>
      <c r="S46" s="9" t="inlineStr">
        <is>
          <t>Sami Torres</t>
        </is>
      </c>
      <c r="T46" s="9" t="inlineStr">
        <is>
          <t>Invoiced</t>
        </is>
      </c>
      <c r="U46" s="10" t="n">
        <v>52</v>
      </c>
      <c r="V46" s="9" t="inlineStr">
        <is>
          <t>Ship with calibration cert</t>
        </is>
      </c>
    </row>
    <row r="47">
      <c r="A47" s="7" t="inlineStr">
        <is>
          <t>AP-30329</t>
        </is>
      </c>
      <c r="B47" s="23" t="n">
        <v>46215</v>
      </c>
      <c r="C47" s="7">
        <f>TEXT(B47,"yyyy-mm")</f>
        <v/>
      </c>
      <c r="D47" s="7" t="inlineStr">
        <is>
          <t>NLG-014</t>
        </is>
      </c>
      <c r="E47" s="9" t="inlineStr">
        <is>
          <t>Northlight Group</t>
        </is>
      </c>
      <c r="F47" s="9" t="inlineStr">
        <is>
          <t>Gulf Coast</t>
        </is>
      </c>
      <c r="G47" s="9" t="inlineStr">
        <is>
          <t>St. Petersburg</t>
        </is>
      </c>
      <c r="H47" s="9" t="inlineStr">
        <is>
          <t>Atlas Care Plus</t>
        </is>
      </c>
      <c r="I47" s="10" t="n">
        <v>3</v>
      </c>
      <c r="J47" s="16" t="n">
        <v>1788</v>
      </c>
      <c r="K47" s="18" t="n">
        <v>0.03</v>
      </c>
      <c r="L47" s="16">
        <f>I47*J47</f>
        <v/>
      </c>
      <c r="M47" s="16">
        <f>ROUND(L47*(1-K47),2)</f>
        <v/>
      </c>
      <c r="N47" s="16" t="n">
        <v>447</v>
      </c>
      <c r="O47" s="16">
        <f>I47*N47</f>
        <v/>
      </c>
      <c r="P47" s="18">
        <f>IFERROR((M47-O47)/M47,0)</f>
        <v/>
      </c>
      <c r="Q47" s="16" t="n">
        <v>0</v>
      </c>
      <c r="R47" s="9" t="inlineStr">
        <is>
          <t>Partner</t>
        </is>
      </c>
      <c r="S47" s="9" t="inlineStr">
        <is>
          <t>Sami Torres</t>
        </is>
      </c>
      <c r="T47" s="9" t="inlineStr">
        <is>
          <t>Invoiced</t>
        </is>
      </c>
      <c r="U47" s="10" t="n">
        <v>53</v>
      </c>
      <c r="V47" s="9" t="inlineStr"/>
    </row>
    <row r="48">
      <c r="A48" s="7" t="inlineStr">
        <is>
          <t>AP-30339</t>
        </is>
      </c>
      <c r="B48" s="23" t="n">
        <v>46264</v>
      </c>
      <c r="C48" s="7">
        <f>TEXT(B48,"yyyy-mm")</f>
        <v/>
      </c>
      <c r="D48" s="7" t="inlineStr">
        <is>
          <t>NLG-014</t>
        </is>
      </c>
      <c r="E48" s="9" t="inlineStr">
        <is>
          <t>Northlight Group</t>
        </is>
      </c>
      <c r="F48" s="9" t="inlineStr">
        <is>
          <t>Gulf Coast</t>
        </is>
      </c>
      <c r="G48" s="9" t="inlineStr">
        <is>
          <t>St. Petersburg</t>
        </is>
      </c>
      <c r="H48" s="9" t="inlineStr">
        <is>
          <t>On-site training</t>
        </is>
      </c>
      <c r="I48" s="10" t="n">
        <v>3</v>
      </c>
      <c r="J48" s="16" t="n">
        <v>650</v>
      </c>
      <c r="K48" s="18" t="n">
        <v>0</v>
      </c>
      <c r="L48" s="16">
        <f>I48*J48</f>
        <v/>
      </c>
      <c r="M48" s="16">
        <f>ROUND(L48*(1-K48),2)</f>
        <v/>
      </c>
      <c r="N48" s="16" t="n">
        <v>429</v>
      </c>
      <c r="O48" s="16">
        <f>I48*N48</f>
        <v/>
      </c>
      <c r="P48" s="18">
        <f>IFERROR((M48-O48)/M48,0)</f>
        <v/>
      </c>
      <c r="Q48" s="16" t="n">
        <v>0</v>
      </c>
      <c r="R48" s="9" t="inlineStr">
        <is>
          <t>Partner</t>
        </is>
      </c>
      <c r="S48" s="9" t="inlineStr">
        <is>
          <t>Jordan Vale</t>
        </is>
      </c>
      <c r="T48" s="9" t="inlineStr">
        <is>
          <t>Invoiced</t>
        </is>
      </c>
      <c r="U48" s="10" t="n">
        <v>54</v>
      </c>
      <c r="V48" s="9" t="inlineStr">
        <is>
          <t>Split shipment</t>
        </is>
      </c>
    </row>
    <row r="49">
      <c r="A49" s="7" t="inlineStr">
        <is>
          <t>AP-30345</t>
        </is>
      </c>
      <c r="B49" s="23" t="n">
        <v>46259</v>
      </c>
      <c r="C49" s="7">
        <f>TEXT(B49,"yyyy-mm")</f>
        <v/>
      </c>
      <c r="D49" s="7" t="inlineStr">
        <is>
          <t>DIR-000</t>
        </is>
      </c>
      <c r="E49" s="9" t="inlineStr">
        <is>
          <t>Apex Instruments direct</t>
        </is>
      </c>
      <c r="F49" s="9" t="inlineStr">
        <is>
          <t>House</t>
        </is>
      </c>
      <c r="G49" s="9" t="inlineStr">
        <is>
          <t>Tampa</t>
        </is>
      </c>
      <c r="H49" s="9" t="inlineStr">
        <is>
          <t>Calibration service</t>
        </is>
      </c>
      <c r="I49" s="10" t="n">
        <v>2</v>
      </c>
      <c r="J49" s="16" t="n">
        <v>180</v>
      </c>
      <c r="K49" s="18" t="n">
        <v>0.05</v>
      </c>
      <c r="L49" s="16">
        <f>I49*J49</f>
        <v/>
      </c>
      <c r="M49" s="16">
        <f>ROUND(L49*(1-K49),2)</f>
        <v/>
      </c>
      <c r="N49" s="16" t="n">
        <v>99</v>
      </c>
      <c r="O49" s="16">
        <f>I49*N49</f>
        <v/>
      </c>
      <c r="P49" s="18">
        <f>IFERROR((M49-O49)/M49,0)</f>
        <v/>
      </c>
      <c r="Q49" s="16" t="n">
        <v>0</v>
      </c>
      <c r="R49" s="9" t="inlineStr">
        <is>
          <t>Direct</t>
        </is>
      </c>
      <c r="S49" s="9" t="inlineStr">
        <is>
          <t>Morgan Reyes</t>
        </is>
      </c>
      <c r="T49" s="9" t="inlineStr">
        <is>
          <t>Shipped</t>
        </is>
      </c>
      <c r="U49" s="10" t="n">
        <v>55</v>
      </c>
      <c r="V49" s="9" t="inlineStr">
        <is>
          <t>Backorder cleared</t>
        </is>
      </c>
    </row>
    <row r="50">
      <c r="A50" s="7" t="inlineStr">
        <is>
          <t>AP-30354</t>
        </is>
      </c>
      <c r="B50" s="23" t="n">
        <v>46223</v>
      </c>
      <c r="C50" s="7">
        <f>TEXT(B50,"yyyy-mm")</f>
        <v/>
      </c>
      <c r="D50" s="7" t="inlineStr">
        <is>
          <t>NLG-022</t>
        </is>
      </c>
      <c r="E50" s="9" t="inlineStr">
        <is>
          <t>Northlight Group</t>
        </is>
      </c>
      <c r="F50" s="9" t="inlineStr">
        <is>
          <t>Central Florida</t>
        </is>
      </c>
      <c r="G50" s="9" t="inlineStr">
        <is>
          <t>Orlando</t>
        </is>
      </c>
      <c r="H50" s="9" t="inlineStr">
        <is>
          <t>Atlas Care Plus</t>
        </is>
      </c>
      <c r="I50" s="10" t="n">
        <v>10</v>
      </c>
      <c r="J50" s="16" t="n">
        <v>1788</v>
      </c>
      <c r="K50" s="18" t="n">
        <v>0.12</v>
      </c>
      <c r="L50" s="16">
        <f>I50*J50</f>
        <v/>
      </c>
      <c r="M50" s="16">
        <f>ROUND(L50*(1-K50),2)</f>
        <v/>
      </c>
      <c r="N50" s="16" t="n">
        <v>447</v>
      </c>
      <c r="O50" s="16">
        <f>I50*N50</f>
        <v/>
      </c>
      <c r="P50" s="18">
        <f>IFERROR((M50-O50)/M50,0)</f>
        <v/>
      </c>
      <c r="Q50" s="16" t="n">
        <v>0</v>
      </c>
      <c r="R50" s="9" t="inlineStr">
        <is>
          <t>Partner</t>
        </is>
      </c>
      <c r="S50" s="9" t="inlineStr">
        <is>
          <t>Sami Torres</t>
        </is>
      </c>
      <c r="T50" s="9" t="inlineStr">
        <is>
          <t>Invoiced</t>
        </is>
      </c>
      <c r="U50" s="10" t="n">
        <v>56</v>
      </c>
      <c r="V50" s="9" t="inlineStr">
        <is>
          <t>Rush requested</t>
        </is>
      </c>
    </row>
    <row r="51">
      <c r="A51" s="7" t="inlineStr">
        <is>
          <t>AP-30358</t>
        </is>
      </c>
      <c r="B51" s="23" t="n">
        <v>46251</v>
      </c>
      <c r="C51" s="7">
        <f>TEXT(B51,"yyyy-mm")</f>
        <v/>
      </c>
      <c r="D51" s="7" t="inlineStr">
        <is>
          <t>DIR-000</t>
        </is>
      </c>
      <c r="E51" s="9" t="inlineStr">
        <is>
          <t>Apex Instruments direct</t>
        </is>
      </c>
      <c r="F51" s="9" t="inlineStr">
        <is>
          <t>House</t>
        </is>
      </c>
      <c r="G51" s="9" t="inlineStr">
        <is>
          <t>Tampa</t>
        </is>
      </c>
      <c r="H51" s="9" t="inlineStr">
        <is>
          <t>Atlas Care Plus</t>
        </is>
      </c>
      <c r="I51" s="10" t="n">
        <v>1</v>
      </c>
      <c r="J51" s="16" t="n">
        <v>1788</v>
      </c>
      <c r="K51" s="18" t="n">
        <v>0</v>
      </c>
      <c r="L51" s="16">
        <f>I51*J51</f>
        <v/>
      </c>
      <c r="M51" s="16">
        <f>ROUND(L51*(1-K51),2)</f>
        <v/>
      </c>
      <c r="N51" s="16" t="n">
        <v>447</v>
      </c>
      <c r="O51" s="16">
        <f>I51*N51</f>
        <v/>
      </c>
      <c r="P51" s="18">
        <f>IFERROR((M51-O51)/M51,0)</f>
        <v/>
      </c>
      <c r="Q51" s="16" t="n">
        <v>0</v>
      </c>
      <c r="R51" s="9" t="inlineStr">
        <is>
          <t>Direct</t>
        </is>
      </c>
      <c r="S51" s="9" t="inlineStr">
        <is>
          <t>Sami Torres</t>
        </is>
      </c>
      <c r="T51" s="9" t="inlineStr">
        <is>
          <t>Shipped</t>
        </is>
      </c>
      <c r="U51" s="10" t="n">
        <v>57</v>
      </c>
      <c r="V51" s="9" t="inlineStr">
        <is>
          <t>PO on file</t>
        </is>
      </c>
    </row>
    <row r="52">
      <c r="A52" s="7" t="inlineStr">
        <is>
          <t>AP-30364</t>
        </is>
      </c>
      <c r="B52" s="23" t="n">
        <v>46293</v>
      </c>
      <c r="C52" s="7">
        <f>TEXT(B52,"yyyy-mm")</f>
        <v/>
      </c>
      <c r="D52" s="7" t="inlineStr">
        <is>
          <t>NLG-031</t>
        </is>
      </c>
      <c r="E52" s="9" t="inlineStr">
        <is>
          <t>Northlight Group</t>
        </is>
      </c>
      <c r="F52" s="9" t="inlineStr">
        <is>
          <t>Gulf Coast</t>
        </is>
      </c>
      <c r="G52" s="9" t="inlineStr">
        <is>
          <t>Sarasota</t>
        </is>
      </c>
      <c r="H52" s="9" t="inlineStr">
        <is>
          <t>On-site training</t>
        </is>
      </c>
      <c r="I52" s="10" t="n">
        <v>3</v>
      </c>
      <c r="J52" s="16" t="n">
        <v>650</v>
      </c>
      <c r="K52" s="18" t="n">
        <v>0.05</v>
      </c>
      <c r="L52" s="16">
        <f>I52*J52</f>
        <v/>
      </c>
      <c r="M52" s="16">
        <f>ROUND(L52*(1-K52),2)</f>
        <v/>
      </c>
      <c r="N52" s="16" t="n">
        <v>429</v>
      </c>
      <c r="O52" s="16">
        <f>I52*N52</f>
        <v/>
      </c>
      <c r="P52" s="18">
        <f>IFERROR((M52-O52)/M52,0)</f>
        <v/>
      </c>
      <c r="Q52" s="16" t="n">
        <v>0</v>
      </c>
      <c r="R52" s="9" t="inlineStr">
        <is>
          <t>Partner</t>
        </is>
      </c>
      <c r="S52" s="9" t="inlineStr">
        <is>
          <t>Morgan Reyes</t>
        </is>
      </c>
      <c r="T52" s="9" t="inlineStr">
        <is>
          <t>Shipped</t>
        </is>
      </c>
      <c r="U52" s="10" t="n">
        <v>58</v>
      </c>
      <c r="V52" s="9" t="inlineStr">
        <is>
          <t>Replaces damaged unit</t>
        </is>
      </c>
    </row>
    <row r="53">
      <c r="A53" s="7" t="inlineStr">
        <is>
          <t>AP-30373</t>
        </is>
      </c>
      <c r="B53" s="23" t="n">
        <v>46261</v>
      </c>
      <c r="C53" s="7">
        <f>TEXT(B53,"yyyy-mm")</f>
        <v/>
      </c>
      <c r="D53" s="7" t="inlineStr">
        <is>
          <t>NLG-014</t>
        </is>
      </c>
      <c r="E53" s="9" t="inlineStr">
        <is>
          <t>Northlight Group</t>
        </is>
      </c>
      <c r="F53" s="9" t="inlineStr">
        <is>
          <t>Gulf Coast</t>
        </is>
      </c>
      <c r="G53" s="9" t="inlineStr">
        <is>
          <t>St. Petersburg</t>
        </is>
      </c>
      <c r="H53" s="9" t="inlineStr">
        <is>
          <t>Calibration service</t>
        </is>
      </c>
      <c r="I53" s="10" t="n">
        <v>4</v>
      </c>
      <c r="J53" s="16" t="n">
        <v>180</v>
      </c>
      <c r="K53" s="18" t="n">
        <v>0.15</v>
      </c>
      <c r="L53" s="16">
        <f>I53*J53</f>
        <v/>
      </c>
      <c r="M53" s="16">
        <f>ROUND(L53*(1-K53),2)</f>
        <v/>
      </c>
      <c r="N53" s="16" t="n">
        <v>99</v>
      </c>
      <c r="O53" s="16">
        <f>I53*N53</f>
        <v/>
      </c>
      <c r="P53" s="18">
        <f>IFERROR((M53-O53)/M53,0)</f>
        <v/>
      </c>
      <c r="Q53" s="16" t="n">
        <v>0</v>
      </c>
      <c r="R53" s="9" t="inlineStr">
        <is>
          <t>Partner</t>
        </is>
      </c>
      <c r="S53" s="9" t="inlineStr">
        <is>
          <t>Avery Kellen</t>
        </is>
      </c>
      <c r="T53" s="9" t="inlineStr">
        <is>
          <t>Invoiced</t>
        </is>
      </c>
      <c r="U53" s="10" t="n">
        <v>59</v>
      </c>
      <c r="V53" s="9" t="inlineStr"/>
    </row>
    <row r="54">
      <c r="A54" s="7" t="inlineStr">
        <is>
          <t>AP-30381</t>
        </is>
      </c>
      <c r="B54" s="23" t="n">
        <v>46295</v>
      </c>
      <c r="C54" s="7">
        <f>TEXT(B54,"yyyy-mm")</f>
        <v/>
      </c>
      <c r="D54" s="7" t="inlineStr">
        <is>
          <t>NLG-027</t>
        </is>
      </c>
      <c r="E54" s="9" t="inlineStr">
        <is>
          <t>Northlight Group</t>
        </is>
      </c>
      <c r="F54" s="9" t="inlineStr">
        <is>
          <t>Central Florida</t>
        </is>
      </c>
      <c r="G54" s="9" t="inlineStr">
        <is>
          <t>Lakeland</t>
        </is>
      </c>
      <c r="H54" s="9" t="inlineStr">
        <is>
          <t>Meridian Field Kit</t>
        </is>
      </c>
      <c r="I54" s="10" t="n">
        <v>4</v>
      </c>
      <c r="J54" s="16" t="n">
        <v>1240</v>
      </c>
      <c r="K54" s="18" t="n">
        <v>0.08</v>
      </c>
      <c r="L54" s="16">
        <f>I54*J54</f>
        <v/>
      </c>
      <c r="M54" s="16">
        <f>ROUND(L54*(1-K54),2)</f>
        <v/>
      </c>
      <c r="N54" s="16" t="n">
        <v>806</v>
      </c>
      <c r="O54" s="16">
        <f>I54*N54</f>
        <v/>
      </c>
      <c r="P54" s="18">
        <f>IFERROR((M54-O54)/M54,0)</f>
        <v/>
      </c>
      <c r="Q54" s="16" t="n">
        <v>172.96</v>
      </c>
      <c r="R54" s="9" t="inlineStr">
        <is>
          <t>Partner</t>
        </is>
      </c>
      <c r="S54" s="9" t="inlineStr">
        <is>
          <t>Jordan Vale</t>
        </is>
      </c>
      <c r="T54" s="9" t="inlineStr">
        <is>
          <t>Open</t>
        </is>
      </c>
      <c r="U54" s="10" t="n">
        <v>60</v>
      </c>
      <c r="V54" s="9" t="inlineStr"/>
    </row>
    <row r="55">
      <c r="A55" s="7" t="inlineStr">
        <is>
          <t>AP-30385</t>
        </is>
      </c>
      <c r="B55" s="23" t="n">
        <v>46282</v>
      </c>
      <c r="C55" s="7">
        <f>TEXT(B55,"yyyy-mm")</f>
        <v/>
      </c>
      <c r="D55" s="7" t="inlineStr">
        <is>
          <t>NLG-031</t>
        </is>
      </c>
      <c r="E55" s="9" t="inlineStr">
        <is>
          <t>Northlight Group</t>
        </is>
      </c>
      <c r="F55" s="9" t="inlineStr">
        <is>
          <t>Gulf Coast</t>
        </is>
      </c>
      <c r="G55" s="9" t="inlineStr">
        <is>
          <t>Sarasota</t>
        </is>
      </c>
      <c r="H55" s="9" t="inlineStr">
        <is>
          <t>Meridian Bench</t>
        </is>
      </c>
      <c r="I55" s="10" t="n">
        <v>1</v>
      </c>
      <c r="J55" s="16" t="n">
        <v>4850</v>
      </c>
      <c r="K55" s="18" t="n">
        <v>0.15</v>
      </c>
      <c r="L55" s="16">
        <f>I55*J55</f>
        <v/>
      </c>
      <c r="M55" s="16">
        <f>ROUND(L55*(1-K55),2)</f>
        <v/>
      </c>
      <c r="N55" s="16" t="n">
        <v>2910</v>
      </c>
      <c r="O55" s="16">
        <f>I55*N55</f>
        <v/>
      </c>
      <c r="P55" s="18">
        <f>IFERROR((M55-O55)/M55,0)</f>
        <v/>
      </c>
      <c r="Q55" s="16" t="n">
        <v>88.28</v>
      </c>
      <c r="R55" s="9" t="inlineStr">
        <is>
          <t>Partner</t>
        </is>
      </c>
      <c r="S55" s="9" t="inlineStr">
        <is>
          <t>Avery Kellen</t>
        </is>
      </c>
      <c r="T55" s="9" t="inlineStr">
        <is>
          <t>Shipped</t>
        </is>
      </c>
      <c r="U55" s="10" t="n">
        <v>61</v>
      </c>
      <c r="V55" s="9" t="inlineStr"/>
    </row>
    <row r="56">
      <c r="A56" s="7" t="inlineStr">
        <is>
          <t>AP-30396</t>
        </is>
      </c>
      <c r="B56" s="23" t="n">
        <v>46268</v>
      </c>
      <c r="C56" s="7">
        <f>TEXT(B56,"yyyy-mm")</f>
        <v/>
      </c>
      <c r="D56" s="7" t="inlineStr">
        <is>
          <t>NLG-014</t>
        </is>
      </c>
      <c r="E56" s="9" t="inlineStr">
        <is>
          <t>Northlight Group</t>
        </is>
      </c>
      <c r="F56" s="9" t="inlineStr">
        <is>
          <t>Gulf Coast</t>
        </is>
      </c>
      <c r="G56" s="9" t="inlineStr">
        <is>
          <t>St. Petersburg</t>
        </is>
      </c>
      <c r="H56" s="9" t="inlineStr">
        <is>
          <t>Calibration service</t>
        </is>
      </c>
      <c r="I56" s="10" t="n">
        <v>4</v>
      </c>
      <c r="J56" s="16" t="n">
        <v>180</v>
      </c>
      <c r="K56" s="18" t="n">
        <v>0</v>
      </c>
      <c r="L56" s="16">
        <f>I56*J56</f>
        <v/>
      </c>
      <c r="M56" s="16">
        <f>ROUND(L56*(1-K56),2)</f>
        <v/>
      </c>
      <c r="N56" s="16" t="n">
        <v>99</v>
      </c>
      <c r="O56" s="16">
        <f>I56*N56</f>
        <v/>
      </c>
      <c r="P56" s="18">
        <f>IFERROR((M56-O56)/M56,0)</f>
        <v/>
      </c>
      <c r="Q56" s="16" t="n">
        <v>0</v>
      </c>
      <c r="R56" s="9" t="inlineStr">
        <is>
          <t>Partner</t>
        </is>
      </c>
      <c r="S56" s="9" t="inlineStr">
        <is>
          <t>Jordan Vale</t>
        </is>
      </c>
      <c r="T56" s="9" t="inlineStr">
        <is>
          <t>Shipped</t>
        </is>
      </c>
      <c r="U56" s="10" t="n">
        <v>62</v>
      </c>
      <c r="V56" s="9" t="inlineStr"/>
    </row>
    <row r="57">
      <c r="A57" s="7" t="inlineStr">
        <is>
          <t>AP-30400</t>
        </is>
      </c>
      <c r="B57" s="23" t="n">
        <v>46286</v>
      </c>
      <c r="C57" s="7">
        <f>TEXT(B57,"yyyy-mm")</f>
        <v/>
      </c>
      <c r="D57" s="7" t="inlineStr">
        <is>
          <t>NLG-022</t>
        </is>
      </c>
      <c r="E57" s="9" t="inlineStr">
        <is>
          <t>Northlight Group</t>
        </is>
      </c>
      <c r="F57" s="9" t="inlineStr">
        <is>
          <t>Central Florida</t>
        </is>
      </c>
      <c r="G57" s="9" t="inlineStr">
        <is>
          <t>Orlando</t>
        </is>
      </c>
      <c r="H57" s="9" t="inlineStr">
        <is>
          <t>Meridian Field Kit</t>
        </is>
      </c>
      <c r="I57" s="10" t="n">
        <v>4</v>
      </c>
      <c r="J57" s="16" t="n">
        <v>1240</v>
      </c>
      <c r="K57" s="18" t="n">
        <v>0.08</v>
      </c>
      <c r="L57" s="16">
        <f>I57*J57</f>
        <v/>
      </c>
      <c r="M57" s="16">
        <f>ROUND(L57*(1-K57),2)</f>
        <v/>
      </c>
      <c r="N57" s="16" t="n">
        <v>806</v>
      </c>
      <c r="O57" s="16">
        <f>I57*N57</f>
        <v/>
      </c>
      <c r="P57" s="18">
        <f>IFERROR((M57-O57)/M57,0)</f>
        <v/>
      </c>
      <c r="Q57" s="16" t="n">
        <v>125.47</v>
      </c>
      <c r="R57" s="9" t="inlineStr">
        <is>
          <t>Partner</t>
        </is>
      </c>
      <c r="S57" s="9" t="inlineStr">
        <is>
          <t>Avery Kellen</t>
        </is>
      </c>
      <c r="T57" s="9" t="inlineStr">
        <is>
          <t>Shipped</t>
        </is>
      </c>
      <c r="U57" s="10" t="n">
        <v>63</v>
      </c>
      <c r="V57" s="9" t="inlineStr">
        <is>
          <t>Partner pickup</t>
        </is>
      </c>
    </row>
    <row r="58">
      <c r="A58" s="7" t="inlineStr">
        <is>
          <t>AP-30410</t>
        </is>
      </c>
      <c r="B58" s="23" t="n">
        <v>46238</v>
      </c>
      <c r="C58" s="7">
        <f>TEXT(B58,"yyyy-mm")</f>
        <v/>
      </c>
      <c r="D58" s="7" t="inlineStr">
        <is>
          <t>DIR-000</t>
        </is>
      </c>
      <c r="E58" s="9" t="inlineStr">
        <is>
          <t>Apex Instruments direct</t>
        </is>
      </c>
      <c r="F58" s="9" t="inlineStr">
        <is>
          <t>House</t>
        </is>
      </c>
      <c r="G58" s="9" t="inlineStr">
        <is>
          <t>Tampa</t>
        </is>
      </c>
      <c r="H58" s="9" t="inlineStr">
        <is>
          <t>Meridian Pro</t>
        </is>
      </c>
      <c r="I58" s="10" t="n">
        <v>2</v>
      </c>
      <c r="J58" s="16" t="n">
        <v>7900</v>
      </c>
      <c r="K58" s="18" t="n">
        <v>0.08</v>
      </c>
      <c r="L58" s="16">
        <f>I58*J58</f>
        <v/>
      </c>
      <c r="M58" s="16">
        <f>ROUND(L58*(1-K58),2)</f>
        <v/>
      </c>
      <c r="N58" s="16" t="n">
        <v>4345</v>
      </c>
      <c r="O58" s="16">
        <f>I58*N58</f>
        <v/>
      </c>
      <c r="P58" s="18">
        <f>IFERROR((M58-O58)/M58,0)</f>
        <v/>
      </c>
      <c r="Q58" s="16" t="n">
        <v>46.24</v>
      </c>
      <c r="R58" s="9" t="inlineStr">
        <is>
          <t>Direct</t>
        </is>
      </c>
      <c r="S58" s="9" t="inlineStr">
        <is>
          <t>Avery Kellen</t>
        </is>
      </c>
      <c r="T58" s="9" t="inlineStr">
        <is>
          <t>Open</t>
        </is>
      </c>
      <c r="U58" s="10" t="n">
        <v>64</v>
      </c>
      <c r="V58" s="9" t="inlineStr">
        <is>
          <t>Backorder cleared</t>
        </is>
      </c>
    </row>
    <row r="59">
      <c r="A59" s="7" t="inlineStr">
        <is>
          <t>AP-30417</t>
        </is>
      </c>
      <c r="B59" s="23" t="n">
        <v>46288</v>
      </c>
      <c r="C59" s="7">
        <f>TEXT(B59,"yyyy-mm")</f>
        <v/>
      </c>
      <c r="D59" s="7" t="inlineStr">
        <is>
          <t>NLG-027</t>
        </is>
      </c>
      <c r="E59" s="9" t="inlineStr">
        <is>
          <t>Northlight Group</t>
        </is>
      </c>
      <c r="F59" s="9" t="inlineStr">
        <is>
          <t>Central Florida</t>
        </is>
      </c>
      <c r="G59" s="9" t="inlineStr">
        <is>
          <t>Lakeland</t>
        </is>
      </c>
      <c r="H59" s="9" t="inlineStr">
        <is>
          <t>Meridian Pro</t>
        </is>
      </c>
      <c r="I59" s="10" t="n">
        <v>1</v>
      </c>
      <c r="J59" s="16" t="n">
        <v>7900</v>
      </c>
      <c r="K59" s="18" t="n">
        <v>0</v>
      </c>
      <c r="L59" s="16">
        <f>I59*J59</f>
        <v/>
      </c>
      <c r="M59" s="16">
        <f>ROUND(L59*(1-K59),2)</f>
        <v/>
      </c>
      <c r="N59" s="16" t="n">
        <v>4345</v>
      </c>
      <c r="O59" s="16">
        <f>I59*N59</f>
        <v/>
      </c>
      <c r="P59" s="18">
        <f>IFERROR((M59-O59)/M59,0)</f>
        <v/>
      </c>
      <c r="Q59" s="16" t="n">
        <v>177.48</v>
      </c>
      <c r="R59" s="9" t="inlineStr">
        <is>
          <t>Partner</t>
        </is>
      </c>
      <c r="S59" s="9" t="inlineStr">
        <is>
          <t>Sami Torres</t>
        </is>
      </c>
      <c r="T59" s="9" t="inlineStr">
        <is>
          <t>Invoiced</t>
        </is>
      </c>
      <c r="U59" s="10" t="n">
        <v>65</v>
      </c>
      <c r="V59" s="9" t="inlineStr"/>
    </row>
    <row r="60">
      <c r="A60" s="7" t="inlineStr">
        <is>
          <t>AP-30420</t>
        </is>
      </c>
      <c r="B60" s="23" t="n">
        <v>46277</v>
      </c>
      <c r="C60" s="7">
        <f>TEXT(B60,"yyyy-mm")</f>
        <v/>
      </c>
      <c r="D60" s="7" t="inlineStr">
        <is>
          <t>NLG-036</t>
        </is>
      </c>
      <c r="E60" s="9" t="inlineStr">
        <is>
          <t>Northlight Group</t>
        </is>
      </c>
      <c r="F60" s="9" t="inlineStr">
        <is>
          <t>Gulf Coast</t>
        </is>
      </c>
      <c r="G60" s="9" t="inlineStr">
        <is>
          <t>Clearwater</t>
        </is>
      </c>
      <c r="H60" s="9" t="inlineStr">
        <is>
          <t>Meridian Field Kit</t>
        </is>
      </c>
      <c r="I60" s="10" t="n">
        <v>2</v>
      </c>
      <c r="J60" s="16" t="n">
        <v>1240</v>
      </c>
      <c r="K60" s="18" t="n">
        <v>0</v>
      </c>
      <c r="L60" s="16">
        <f>I60*J60</f>
        <v/>
      </c>
      <c r="M60" s="16">
        <f>ROUND(L60*(1-K60),2)</f>
        <v/>
      </c>
      <c r="N60" s="16" t="n">
        <v>806</v>
      </c>
      <c r="O60" s="16">
        <f>I60*N60</f>
        <v/>
      </c>
      <c r="P60" s="18">
        <f>IFERROR((M60-O60)/M60,0)</f>
        <v/>
      </c>
      <c r="Q60" s="16" t="n">
        <v>132.66</v>
      </c>
      <c r="R60" s="9" t="inlineStr">
        <is>
          <t>Partner</t>
        </is>
      </c>
      <c r="S60" s="9" t="inlineStr">
        <is>
          <t>Avery Kellen</t>
        </is>
      </c>
      <c r="T60" s="9" t="inlineStr">
        <is>
          <t>Invoiced</t>
        </is>
      </c>
      <c r="U60" s="10" t="n">
        <v>66</v>
      </c>
      <c r="V60" s="9" t="inlineStr">
        <is>
          <t>Replaces damaged unit</t>
        </is>
      </c>
    </row>
    <row r="61">
      <c r="A61" s="7" t="inlineStr">
        <is>
          <t>AP-30431</t>
        </is>
      </c>
      <c r="B61" s="23" t="n">
        <v>46290</v>
      </c>
      <c r="C61" s="7">
        <f>TEXT(B61,"yyyy-mm")</f>
        <v/>
      </c>
      <c r="D61" s="7" t="inlineStr">
        <is>
          <t>DIR-000</t>
        </is>
      </c>
      <c r="E61" s="9" t="inlineStr">
        <is>
          <t>Apex Instruments direct</t>
        </is>
      </c>
      <c r="F61" s="9" t="inlineStr">
        <is>
          <t>House</t>
        </is>
      </c>
      <c r="G61" s="9" t="inlineStr">
        <is>
          <t>Tampa</t>
        </is>
      </c>
      <c r="H61" s="9" t="inlineStr">
        <is>
          <t>Calibration service</t>
        </is>
      </c>
      <c r="I61" s="10" t="n">
        <v>5</v>
      </c>
      <c r="J61" s="16" t="n">
        <v>180</v>
      </c>
      <c r="K61" s="18" t="n">
        <v>0</v>
      </c>
      <c r="L61" s="16">
        <f>I61*J61</f>
        <v/>
      </c>
      <c r="M61" s="16">
        <f>ROUND(L61*(1-K61),2)</f>
        <v/>
      </c>
      <c r="N61" s="16" t="n">
        <v>99</v>
      </c>
      <c r="O61" s="16">
        <f>I61*N61</f>
        <v/>
      </c>
      <c r="P61" s="18">
        <f>IFERROR((M61-O61)/M61,0)</f>
        <v/>
      </c>
      <c r="Q61" s="16" t="n">
        <v>0</v>
      </c>
      <c r="R61" s="9" t="inlineStr">
        <is>
          <t>Direct</t>
        </is>
      </c>
      <c r="S61" s="9" t="inlineStr">
        <is>
          <t>Sami Torres</t>
        </is>
      </c>
      <c r="T61" s="9" t="inlineStr">
        <is>
          <t>Open</t>
        </is>
      </c>
      <c r="U61" s="10" t="n">
        <v>67</v>
      </c>
      <c r="V61" s="9" t="inlineStr"/>
    </row>
    <row r="62">
      <c r="A62" s="7" t="inlineStr">
        <is>
          <t>AP-30437</t>
        </is>
      </c>
      <c r="B62" s="23" t="n">
        <v>46214</v>
      </c>
      <c r="C62" s="7">
        <f>TEXT(B62,"yyyy-mm")</f>
        <v/>
      </c>
      <c r="D62" s="7" t="inlineStr">
        <is>
          <t>NLG-031</t>
        </is>
      </c>
      <c r="E62" s="9" t="inlineStr">
        <is>
          <t>Northlight Group</t>
        </is>
      </c>
      <c r="F62" s="9" t="inlineStr">
        <is>
          <t>Gulf Coast</t>
        </is>
      </c>
      <c r="G62" s="9" t="inlineStr">
        <is>
          <t>Sarasota</t>
        </is>
      </c>
      <c r="H62" s="9" t="inlineStr">
        <is>
          <t>On-site training</t>
        </is>
      </c>
      <c r="I62" s="10" t="n">
        <v>3</v>
      </c>
      <c r="J62" s="16" t="n">
        <v>650</v>
      </c>
      <c r="K62" s="18" t="n">
        <v>0</v>
      </c>
      <c r="L62" s="16">
        <f>I62*J62</f>
        <v/>
      </c>
      <c r="M62" s="16">
        <f>ROUND(L62*(1-K62),2)</f>
        <v/>
      </c>
      <c r="N62" s="16" t="n">
        <v>429</v>
      </c>
      <c r="O62" s="16">
        <f>I62*N62</f>
        <v/>
      </c>
      <c r="P62" s="18">
        <f>IFERROR((M62-O62)/M62,0)</f>
        <v/>
      </c>
      <c r="Q62" s="16" t="n">
        <v>0</v>
      </c>
      <c r="R62" s="9" t="inlineStr">
        <is>
          <t>Partner</t>
        </is>
      </c>
      <c r="S62" s="9" t="inlineStr">
        <is>
          <t>Avery Kellen</t>
        </is>
      </c>
      <c r="T62" s="9" t="inlineStr">
        <is>
          <t>Shipped</t>
        </is>
      </c>
      <c r="U62" s="10" t="n">
        <v>68</v>
      </c>
      <c r="V62" s="9" t="inlineStr">
        <is>
          <t>Replaces damaged unit</t>
        </is>
      </c>
    </row>
    <row r="63">
      <c r="A63" s="7" t="inlineStr">
        <is>
          <t>AP-30442</t>
        </is>
      </c>
      <c r="B63" s="23" t="n">
        <v>46280</v>
      </c>
      <c r="C63" s="7">
        <f>TEXT(B63,"yyyy-mm")</f>
        <v/>
      </c>
      <c r="D63" s="7" t="inlineStr">
        <is>
          <t>DIR-000</t>
        </is>
      </c>
      <c r="E63" s="9" t="inlineStr">
        <is>
          <t>Apex Instruments direct</t>
        </is>
      </c>
      <c r="F63" s="9" t="inlineStr">
        <is>
          <t>House</t>
        </is>
      </c>
      <c r="G63" s="9" t="inlineStr">
        <is>
          <t>Tampa</t>
        </is>
      </c>
      <c r="H63" s="9" t="inlineStr">
        <is>
          <t>Meridian Bench</t>
        </is>
      </c>
      <c r="I63" s="10" t="n">
        <v>2</v>
      </c>
      <c r="J63" s="16" t="n">
        <v>4850</v>
      </c>
      <c r="K63" s="18" t="n">
        <v>0</v>
      </c>
      <c r="L63" s="16">
        <f>I63*J63</f>
        <v/>
      </c>
      <c r="M63" s="16">
        <f>ROUND(L63*(1-K63),2)</f>
        <v/>
      </c>
      <c r="N63" s="16" t="n">
        <v>2910</v>
      </c>
      <c r="O63" s="16">
        <f>I63*N63</f>
        <v/>
      </c>
      <c r="P63" s="18">
        <f>IFERROR((M63-O63)/M63,0)</f>
        <v/>
      </c>
      <c r="Q63" s="16" t="n">
        <v>34.14</v>
      </c>
      <c r="R63" s="9" t="inlineStr">
        <is>
          <t>Direct</t>
        </is>
      </c>
      <c r="S63" s="9" t="inlineStr">
        <is>
          <t>Sami Torres</t>
        </is>
      </c>
      <c r="T63" s="9" t="inlineStr">
        <is>
          <t>Shipped</t>
        </is>
      </c>
      <c r="U63" s="10" t="n">
        <v>69</v>
      </c>
      <c r="V63" s="9" t="inlineStr">
        <is>
          <t>Renewal</t>
        </is>
      </c>
    </row>
    <row r="64">
      <c r="A64" s="7" t="inlineStr">
        <is>
          <t>AP-30456</t>
        </is>
      </c>
      <c r="B64" s="23" t="n">
        <v>46235</v>
      </c>
      <c r="C64" s="7">
        <f>TEXT(B64,"yyyy-mm")</f>
        <v/>
      </c>
      <c r="D64" s="7" t="inlineStr">
        <is>
          <t>DIR-000</t>
        </is>
      </c>
      <c r="E64" s="9" t="inlineStr">
        <is>
          <t>Apex Instruments direct</t>
        </is>
      </c>
      <c r="F64" s="9" t="inlineStr">
        <is>
          <t>House</t>
        </is>
      </c>
      <c r="G64" s="9" t="inlineStr">
        <is>
          <t>Tampa</t>
        </is>
      </c>
      <c r="H64" s="9" t="inlineStr">
        <is>
          <t>Calibration service</t>
        </is>
      </c>
      <c r="I64" s="10" t="n">
        <v>6</v>
      </c>
      <c r="J64" s="16" t="n">
        <v>180</v>
      </c>
      <c r="K64" s="18" t="n">
        <v>0.1</v>
      </c>
      <c r="L64" s="16">
        <f>I64*J64</f>
        <v/>
      </c>
      <c r="M64" s="16">
        <f>ROUND(L64*(1-K64),2)</f>
        <v/>
      </c>
      <c r="N64" s="16" t="n">
        <v>99</v>
      </c>
      <c r="O64" s="16">
        <f>I64*N64</f>
        <v/>
      </c>
      <c r="P64" s="18">
        <f>IFERROR((M64-O64)/M64,0)</f>
        <v/>
      </c>
      <c r="Q64" s="16" t="n">
        <v>0</v>
      </c>
      <c r="R64" s="9" t="inlineStr">
        <is>
          <t>Direct</t>
        </is>
      </c>
      <c r="S64" s="9" t="inlineStr">
        <is>
          <t>Sami Torres</t>
        </is>
      </c>
      <c r="T64" s="9" t="inlineStr">
        <is>
          <t>Open</t>
        </is>
      </c>
      <c r="U64" s="10" t="n">
        <v>71</v>
      </c>
      <c r="V64" s="9" t="inlineStr">
        <is>
          <t>Backorder cleared</t>
        </is>
      </c>
    </row>
    <row r="65">
      <c r="A65" s="7" t="inlineStr">
        <is>
          <t>AP-30466</t>
        </is>
      </c>
      <c r="B65" s="23" t="n">
        <v>46264</v>
      </c>
      <c r="C65" s="7">
        <f>TEXT(B65,"yyyy-mm")</f>
        <v/>
      </c>
      <c r="D65" s="7" t="inlineStr">
        <is>
          <t>NLG-036</t>
        </is>
      </c>
      <c r="E65" s="9" t="inlineStr">
        <is>
          <t>Northlight Group</t>
        </is>
      </c>
      <c r="F65" s="9" t="inlineStr">
        <is>
          <t>Gulf Coast</t>
        </is>
      </c>
      <c r="G65" s="9" t="inlineStr">
        <is>
          <t>Clearwater</t>
        </is>
      </c>
      <c r="H65" s="9" t="inlineStr">
        <is>
          <t>Meridian Field Kit</t>
        </is>
      </c>
      <c r="I65" s="10" t="n">
        <v>4</v>
      </c>
      <c r="J65" s="16" t="n">
        <v>1240</v>
      </c>
      <c r="K65" s="18" t="n">
        <v>0</v>
      </c>
      <c r="L65" s="16">
        <f>I65*J65</f>
        <v/>
      </c>
      <c r="M65" s="16">
        <f>ROUND(L65*(1-K65),2)</f>
        <v/>
      </c>
      <c r="N65" s="16" t="n">
        <v>806</v>
      </c>
      <c r="O65" s="16">
        <f>I65*N65</f>
        <v/>
      </c>
      <c r="P65" s="18">
        <f>IFERROR((M65-O65)/M65,0)</f>
        <v/>
      </c>
      <c r="Q65" s="16" t="n">
        <v>70.7</v>
      </c>
      <c r="R65" s="9" t="inlineStr">
        <is>
          <t>Partner</t>
        </is>
      </c>
      <c r="S65" s="9" t="inlineStr">
        <is>
          <t>Morgan Reyes</t>
        </is>
      </c>
      <c r="T65" s="9" t="inlineStr">
        <is>
          <t>Invoiced</t>
        </is>
      </c>
      <c r="U65" s="10" t="n">
        <v>72</v>
      </c>
      <c r="V65" s="9" t="inlineStr">
        <is>
          <t>Quote 2026-Q3 pricing</t>
        </is>
      </c>
    </row>
    <row r="66">
      <c r="A66" s="7" t="inlineStr">
        <is>
          <t>AP-30472</t>
        </is>
      </c>
      <c r="B66" s="23" t="n">
        <v>46211</v>
      </c>
      <c r="C66" s="7">
        <f>TEXT(B66,"yyyy-mm")</f>
        <v/>
      </c>
      <c r="D66" s="7" t="inlineStr">
        <is>
          <t>NLG-014</t>
        </is>
      </c>
      <c r="E66" s="9" t="inlineStr">
        <is>
          <t>Northlight Group</t>
        </is>
      </c>
      <c r="F66" s="9" t="inlineStr">
        <is>
          <t>Gulf Coast</t>
        </is>
      </c>
      <c r="G66" s="9" t="inlineStr">
        <is>
          <t>St. Petersburg</t>
        </is>
      </c>
      <c r="H66" s="9" t="inlineStr">
        <is>
          <t>Meridian Pro</t>
        </is>
      </c>
      <c r="I66" s="10" t="n">
        <v>2</v>
      </c>
      <c r="J66" s="16" t="n">
        <v>7900</v>
      </c>
      <c r="K66" s="18" t="n">
        <v>0.05</v>
      </c>
      <c r="L66" s="16">
        <f>I66*J66</f>
        <v/>
      </c>
      <c r="M66" s="16">
        <f>ROUND(L66*(1-K66),2)</f>
        <v/>
      </c>
      <c r="N66" s="16" t="n">
        <v>4345</v>
      </c>
      <c r="O66" s="16">
        <f>I66*N66</f>
        <v/>
      </c>
      <c r="P66" s="18">
        <f>IFERROR((M66-O66)/M66,0)</f>
        <v/>
      </c>
      <c r="Q66" s="16" t="n">
        <v>97.23</v>
      </c>
      <c r="R66" s="9" t="inlineStr">
        <is>
          <t>Partner</t>
        </is>
      </c>
      <c r="S66" s="9" t="inlineStr">
        <is>
          <t>Sami Torres</t>
        </is>
      </c>
      <c r="T66" s="9" t="inlineStr">
        <is>
          <t>Invoiced</t>
        </is>
      </c>
      <c r="U66" s="10" t="n">
        <v>73</v>
      </c>
      <c r="V66" s="9" t="inlineStr">
        <is>
          <t>Replaces damaged unit</t>
        </is>
      </c>
    </row>
    <row r="67">
      <c r="A67" s="7" t="inlineStr">
        <is>
          <t>AP-30479</t>
        </is>
      </c>
      <c r="B67" s="23" t="n">
        <v>46248</v>
      </c>
      <c r="C67" s="7">
        <f>TEXT(B67,"yyyy-mm")</f>
        <v/>
      </c>
      <c r="D67" s="7" t="inlineStr">
        <is>
          <t>NLG-011</t>
        </is>
      </c>
      <c r="E67" s="9" t="inlineStr">
        <is>
          <t>Northlight Group</t>
        </is>
      </c>
      <c r="F67" s="9" t="inlineStr">
        <is>
          <t>Gulf Coast</t>
        </is>
      </c>
      <c r="G67" s="9" t="inlineStr">
        <is>
          <t>Tampa</t>
        </is>
      </c>
      <c r="H67" s="9" t="inlineStr">
        <is>
          <t>Meridian Pro</t>
        </is>
      </c>
      <c r="I67" s="10" t="n">
        <v>2</v>
      </c>
      <c r="J67" s="16" t="n">
        <v>7900</v>
      </c>
      <c r="K67" s="18" t="n">
        <v>0.05</v>
      </c>
      <c r="L67" s="16">
        <f>I67*J67</f>
        <v/>
      </c>
      <c r="M67" s="16">
        <f>ROUND(L67*(1-K67),2)</f>
        <v/>
      </c>
      <c r="N67" s="16" t="n">
        <v>4345</v>
      </c>
      <c r="O67" s="16">
        <f>I67*N67</f>
        <v/>
      </c>
      <c r="P67" s="18">
        <f>IFERROR((M67-O67)/M67,0)</f>
        <v/>
      </c>
      <c r="Q67" s="16" t="n">
        <v>114.12</v>
      </c>
      <c r="R67" s="9" t="inlineStr">
        <is>
          <t>Partner</t>
        </is>
      </c>
      <c r="S67" s="9" t="inlineStr">
        <is>
          <t>Sami Torres</t>
        </is>
      </c>
      <c r="T67" s="9" t="inlineStr">
        <is>
          <t>Shipped</t>
        </is>
      </c>
      <c r="U67" s="10" t="n">
        <v>74</v>
      </c>
      <c r="V67" s="9" t="inlineStr">
        <is>
          <t>Backorder cleared</t>
        </is>
      </c>
    </row>
    <row r="68">
      <c r="A68" s="7" t="inlineStr">
        <is>
          <t>AP-30487</t>
        </is>
      </c>
      <c r="B68" s="23" t="n">
        <v>46286</v>
      </c>
      <c r="C68" s="7">
        <f>TEXT(B68,"yyyy-mm")</f>
        <v/>
      </c>
      <c r="D68" s="7" t="inlineStr">
        <is>
          <t>NLG-014</t>
        </is>
      </c>
      <c r="E68" s="9" t="inlineStr">
        <is>
          <t>Northlight Group</t>
        </is>
      </c>
      <c r="F68" s="9" t="inlineStr">
        <is>
          <t>Gulf Coast</t>
        </is>
      </c>
      <c r="G68" s="9" t="inlineStr">
        <is>
          <t>St. Petersburg</t>
        </is>
      </c>
      <c r="H68" s="9" t="inlineStr">
        <is>
          <t>On-site training</t>
        </is>
      </c>
      <c r="I68" s="10" t="n">
        <v>3</v>
      </c>
      <c r="J68" s="16" t="n">
        <v>650</v>
      </c>
      <c r="K68" s="18" t="n">
        <v>0.03</v>
      </c>
      <c r="L68" s="16">
        <f>I68*J68</f>
        <v/>
      </c>
      <c r="M68" s="16">
        <f>ROUND(L68*(1-K68),2)</f>
        <v/>
      </c>
      <c r="N68" s="16" t="n">
        <v>429</v>
      </c>
      <c r="O68" s="16">
        <f>I68*N68</f>
        <v/>
      </c>
      <c r="P68" s="18">
        <f>IFERROR((M68-O68)/M68,0)</f>
        <v/>
      </c>
      <c r="Q68" s="16" t="n">
        <v>0</v>
      </c>
      <c r="R68" s="9" t="inlineStr">
        <is>
          <t>Partner</t>
        </is>
      </c>
      <c r="S68" s="9" t="inlineStr">
        <is>
          <t>Jordan Vale</t>
        </is>
      </c>
      <c r="T68" s="9" t="inlineStr">
        <is>
          <t>Shipped</t>
        </is>
      </c>
      <c r="U68" s="10" t="n">
        <v>75</v>
      </c>
      <c r="V68" s="9" t="inlineStr">
        <is>
          <t>Renewal</t>
        </is>
      </c>
    </row>
    <row r="69">
      <c r="A69" s="7" t="inlineStr">
        <is>
          <t>AP-30492</t>
        </is>
      </c>
      <c r="B69" s="23" t="n">
        <v>46251</v>
      </c>
      <c r="C69" s="7">
        <f>TEXT(B69,"yyyy-mm")</f>
        <v/>
      </c>
      <c r="D69" s="7" t="inlineStr">
        <is>
          <t>NLG-031</t>
        </is>
      </c>
      <c r="E69" s="9" t="inlineStr">
        <is>
          <t>Northlight Group</t>
        </is>
      </c>
      <c r="F69" s="9" t="inlineStr">
        <is>
          <t>Gulf Coast</t>
        </is>
      </c>
      <c r="G69" s="9" t="inlineStr">
        <is>
          <t>Sarasota</t>
        </is>
      </c>
      <c r="H69" s="9" t="inlineStr">
        <is>
          <t>Atlas Care Plus</t>
        </is>
      </c>
      <c r="I69" s="10" t="n">
        <v>4</v>
      </c>
      <c r="J69" s="16" t="n">
        <v>1788</v>
      </c>
      <c r="K69" s="18" t="n">
        <v>0</v>
      </c>
      <c r="L69" s="16">
        <f>I69*J69</f>
        <v/>
      </c>
      <c r="M69" s="16">
        <f>ROUND(L69*(1-K69),2)</f>
        <v/>
      </c>
      <c r="N69" s="16" t="n">
        <v>447</v>
      </c>
      <c r="O69" s="16">
        <f>I69*N69</f>
        <v/>
      </c>
      <c r="P69" s="18">
        <f>IFERROR((M69-O69)/M69,0)</f>
        <v/>
      </c>
      <c r="Q69" s="16" t="n">
        <v>0</v>
      </c>
      <c r="R69" s="9" t="inlineStr">
        <is>
          <t>Partner</t>
        </is>
      </c>
      <c r="S69" s="9" t="inlineStr">
        <is>
          <t>Sami Torres</t>
        </is>
      </c>
      <c r="T69" s="9" t="inlineStr">
        <is>
          <t>Invoiced</t>
        </is>
      </c>
      <c r="U69" s="10" t="n">
        <v>76</v>
      </c>
      <c r="V69" s="9" t="inlineStr"/>
    </row>
    <row r="70">
      <c r="A70" s="7" t="inlineStr">
        <is>
          <t>AP-30498</t>
        </is>
      </c>
      <c r="B70" s="23" t="n">
        <v>46254</v>
      </c>
      <c r="C70" s="7">
        <f>TEXT(B70,"yyyy-mm")</f>
        <v/>
      </c>
      <c r="D70" s="7" t="inlineStr">
        <is>
          <t>NLG-014</t>
        </is>
      </c>
      <c r="E70" s="9" t="inlineStr">
        <is>
          <t>Northlight Group</t>
        </is>
      </c>
      <c r="F70" s="9" t="inlineStr">
        <is>
          <t>Gulf Coast</t>
        </is>
      </c>
      <c r="G70" s="9" t="inlineStr">
        <is>
          <t>St. Petersburg</t>
        </is>
      </c>
      <c r="H70" s="9" t="inlineStr">
        <is>
          <t>Atlas Care Plus</t>
        </is>
      </c>
      <c r="I70" s="10" t="n">
        <v>3</v>
      </c>
      <c r="J70" s="16" t="n">
        <v>1788</v>
      </c>
      <c r="K70" s="18" t="n">
        <v>0</v>
      </c>
      <c r="L70" s="16">
        <f>I70*J70</f>
        <v/>
      </c>
      <c r="M70" s="16">
        <f>ROUND(L70*(1-K70),2)</f>
        <v/>
      </c>
      <c r="N70" s="16" t="n">
        <v>447</v>
      </c>
      <c r="O70" s="16">
        <f>I70*N70</f>
        <v/>
      </c>
      <c r="P70" s="18">
        <f>IFERROR((M70-O70)/M70,0)</f>
        <v/>
      </c>
      <c r="Q70" s="16" t="n">
        <v>0</v>
      </c>
      <c r="R70" s="9" t="inlineStr">
        <is>
          <t>Partner</t>
        </is>
      </c>
      <c r="S70" s="9" t="inlineStr">
        <is>
          <t>Jordan Vale</t>
        </is>
      </c>
      <c r="T70" s="9" t="inlineStr">
        <is>
          <t>Open</t>
        </is>
      </c>
      <c r="U70" s="10" t="n">
        <v>77</v>
      </c>
      <c r="V70" s="9" t="inlineStr"/>
    </row>
    <row r="71">
      <c r="A71" s="7" t="inlineStr">
        <is>
          <t>AP-30504</t>
        </is>
      </c>
      <c r="B71" s="23" t="n">
        <v>46231</v>
      </c>
      <c r="C71" s="7">
        <f>TEXT(B71,"yyyy-mm")</f>
        <v/>
      </c>
      <c r="D71" s="7" t="inlineStr">
        <is>
          <t>DIR-000</t>
        </is>
      </c>
      <c r="E71" s="9" t="inlineStr">
        <is>
          <t>Apex Instruments direct</t>
        </is>
      </c>
      <c r="F71" s="9" t="inlineStr">
        <is>
          <t>House</t>
        </is>
      </c>
      <c r="G71" s="9" t="inlineStr">
        <is>
          <t>Tampa</t>
        </is>
      </c>
      <c r="H71" s="9" t="inlineStr">
        <is>
          <t>On-site training</t>
        </is>
      </c>
      <c r="I71" s="10" t="n">
        <v>1</v>
      </c>
      <c r="J71" s="16" t="n">
        <v>650</v>
      </c>
      <c r="K71" s="18" t="n">
        <v>0.05</v>
      </c>
      <c r="L71" s="16">
        <f>I71*J71</f>
        <v/>
      </c>
      <c r="M71" s="16">
        <f>ROUND(L71*(1-K71),2)</f>
        <v/>
      </c>
      <c r="N71" s="16" t="n">
        <v>429</v>
      </c>
      <c r="O71" s="16">
        <f>I71*N71</f>
        <v/>
      </c>
      <c r="P71" s="18">
        <f>IFERROR((M71-O71)/M71,0)</f>
        <v/>
      </c>
      <c r="Q71" s="16" t="n">
        <v>0</v>
      </c>
      <c r="R71" s="9" t="inlineStr">
        <is>
          <t>Direct</t>
        </is>
      </c>
      <c r="S71" s="9" t="inlineStr">
        <is>
          <t>Avery Kellen</t>
        </is>
      </c>
      <c r="T71" s="9" t="inlineStr">
        <is>
          <t>Shipped</t>
        </is>
      </c>
      <c r="U71" s="10" t="n">
        <v>78</v>
      </c>
      <c r="V71" s="9" t="inlineStr">
        <is>
          <t>Split shipment</t>
        </is>
      </c>
    </row>
    <row r="72">
      <c r="A72" s="7" t="inlineStr">
        <is>
          <t>AP-30513</t>
        </is>
      </c>
      <c r="B72" s="23" t="n">
        <v>46221</v>
      </c>
      <c r="C72" s="7">
        <f>TEXT(B72,"yyyy-mm")</f>
        <v/>
      </c>
      <c r="D72" s="7" t="inlineStr">
        <is>
          <t>NLG-036</t>
        </is>
      </c>
      <c r="E72" s="9" t="inlineStr">
        <is>
          <t>Northlight Group</t>
        </is>
      </c>
      <c r="F72" s="9" t="inlineStr">
        <is>
          <t>Gulf Coast</t>
        </is>
      </c>
      <c r="G72" s="9" t="inlineStr">
        <is>
          <t>Clearwater</t>
        </is>
      </c>
      <c r="H72" s="9" t="inlineStr">
        <is>
          <t>Calibration service</t>
        </is>
      </c>
      <c r="I72" s="10" t="n">
        <v>1</v>
      </c>
      <c r="J72" s="16" t="n">
        <v>180</v>
      </c>
      <c r="K72" s="18" t="n">
        <v>0</v>
      </c>
      <c r="L72" s="16">
        <f>I72*J72</f>
        <v/>
      </c>
      <c r="M72" s="16">
        <f>ROUND(L72*(1-K72),2)</f>
        <v/>
      </c>
      <c r="N72" s="16" t="n">
        <v>99</v>
      </c>
      <c r="O72" s="16">
        <f>I72*N72</f>
        <v/>
      </c>
      <c r="P72" s="18">
        <f>IFERROR((M72-O72)/M72,0)</f>
        <v/>
      </c>
      <c r="Q72" s="16" t="n">
        <v>0</v>
      </c>
      <c r="R72" s="9" t="inlineStr">
        <is>
          <t>Partner</t>
        </is>
      </c>
      <c r="S72" s="9" t="inlineStr">
        <is>
          <t>Sami Torres</t>
        </is>
      </c>
      <c r="T72" s="9" t="inlineStr">
        <is>
          <t>Invoiced</t>
        </is>
      </c>
      <c r="U72" s="10" t="n">
        <v>79</v>
      </c>
      <c r="V72" s="9" t="inlineStr"/>
    </row>
    <row r="73">
      <c r="A73" s="7" t="inlineStr">
        <is>
          <t>AP-30519</t>
        </is>
      </c>
      <c r="B73" s="23" t="n">
        <v>46238</v>
      </c>
      <c r="C73" s="7">
        <f>TEXT(B73,"yyyy-mm")</f>
        <v/>
      </c>
      <c r="D73" s="7" t="inlineStr">
        <is>
          <t>NLG-027</t>
        </is>
      </c>
      <c r="E73" s="9" t="inlineStr">
        <is>
          <t>Northlight Group</t>
        </is>
      </c>
      <c r="F73" s="9" t="inlineStr">
        <is>
          <t>Central Florida</t>
        </is>
      </c>
      <c r="G73" s="9" t="inlineStr">
        <is>
          <t>Lakeland</t>
        </is>
      </c>
      <c r="H73" s="9" t="inlineStr">
        <is>
          <t>Atlas Care Plus</t>
        </is>
      </c>
      <c r="I73" s="10" t="n">
        <v>1</v>
      </c>
      <c r="J73" s="16" t="n">
        <v>1788</v>
      </c>
      <c r="K73" s="18" t="n">
        <v>0</v>
      </c>
      <c r="L73" s="16">
        <f>I73*J73</f>
        <v/>
      </c>
      <c r="M73" s="16">
        <f>ROUND(L73*(1-K73),2)</f>
        <v/>
      </c>
      <c r="N73" s="16" t="n">
        <v>447</v>
      </c>
      <c r="O73" s="16">
        <f>I73*N73</f>
        <v/>
      </c>
      <c r="P73" s="18">
        <f>IFERROR((M73-O73)/M73,0)</f>
        <v/>
      </c>
      <c r="Q73" s="16" t="n">
        <v>0</v>
      </c>
      <c r="R73" s="9" t="inlineStr">
        <is>
          <t>Partner</t>
        </is>
      </c>
      <c r="S73" s="9" t="inlineStr">
        <is>
          <t>Sami Torres</t>
        </is>
      </c>
      <c r="T73" s="9" t="inlineStr">
        <is>
          <t>Invoiced</t>
        </is>
      </c>
      <c r="U73" s="10" t="n">
        <v>80</v>
      </c>
      <c r="V73" s="9" t="inlineStr">
        <is>
          <t>Ship with calibration cert</t>
        </is>
      </c>
    </row>
    <row r="74">
      <c r="A74" s="7" t="inlineStr">
        <is>
          <t>AP-30528</t>
        </is>
      </c>
      <c r="B74" s="23" t="n">
        <v>46223</v>
      </c>
      <c r="C74" s="7">
        <f>TEXT(B74,"yyyy-mm")</f>
        <v/>
      </c>
      <c r="D74" s="7" t="inlineStr">
        <is>
          <t>NLG-031</t>
        </is>
      </c>
      <c r="E74" s="9" t="inlineStr">
        <is>
          <t>Northlight Group</t>
        </is>
      </c>
      <c r="F74" s="9" t="inlineStr">
        <is>
          <t>Gulf Coast</t>
        </is>
      </c>
      <c r="G74" s="9" t="inlineStr">
        <is>
          <t>Sarasota</t>
        </is>
      </c>
      <c r="H74" s="9" t="inlineStr">
        <is>
          <t>Meridian Field Kit</t>
        </is>
      </c>
      <c r="I74" s="10" t="n">
        <v>5</v>
      </c>
      <c r="J74" s="16" t="n">
        <v>1240</v>
      </c>
      <c r="K74" s="18" t="n">
        <v>0</v>
      </c>
      <c r="L74" s="16">
        <f>I74*J74</f>
        <v/>
      </c>
      <c r="M74" s="16">
        <f>ROUND(L74*(1-K74),2)</f>
        <v/>
      </c>
      <c r="N74" s="16" t="n">
        <v>806</v>
      </c>
      <c r="O74" s="16">
        <f>I74*N74</f>
        <v/>
      </c>
      <c r="P74" s="18">
        <f>IFERROR((M74-O74)/M74,0)</f>
        <v/>
      </c>
      <c r="Q74" s="16" t="n">
        <v>83.11</v>
      </c>
      <c r="R74" s="9" t="inlineStr">
        <is>
          <t>Partner</t>
        </is>
      </c>
      <c r="S74" s="9" t="inlineStr">
        <is>
          <t>Sami Torres</t>
        </is>
      </c>
      <c r="T74" s="9" t="inlineStr">
        <is>
          <t>Shipped</t>
        </is>
      </c>
      <c r="U74" s="10" t="n">
        <v>81</v>
      </c>
      <c r="V74" s="9" t="inlineStr">
        <is>
          <t>Quote 2026-Q3 pricing</t>
        </is>
      </c>
    </row>
    <row r="75">
      <c r="A75" s="7" t="inlineStr">
        <is>
          <t>AP-30533</t>
        </is>
      </c>
      <c r="B75" s="23" t="n">
        <v>46267</v>
      </c>
      <c r="C75" s="7">
        <f>TEXT(B75,"yyyy-mm")</f>
        <v/>
      </c>
      <c r="D75" s="7" t="inlineStr">
        <is>
          <t>NLG-027</t>
        </is>
      </c>
      <c r="E75" s="9" t="inlineStr">
        <is>
          <t>Northlight Group</t>
        </is>
      </c>
      <c r="F75" s="9" t="inlineStr">
        <is>
          <t>Central Florida</t>
        </is>
      </c>
      <c r="G75" s="9" t="inlineStr">
        <is>
          <t>Lakeland</t>
        </is>
      </c>
      <c r="H75" s="9" t="inlineStr">
        <is>
          <t>Meridian Bench</t>
        </is>
      </c>
      <c r="I75" s="10" t="n">
        <v>1</v>
      </c>
      <c r="J75" s="16" t="n">
        <v>4850</v>
      </c>
      <c r="K75" s="18" t="n">
        <v>0.05</v>
      </c>
      <c r="L75" s="16">
        <f>I75*J75</f>
        <v/>
      </c>
      <c r="M75" s="16">
        <f>ROUND(L75*(1-K75),2)</f>
        <v/>
      </c>
      <c r="N75" s="16" t="n">
        <v>2910</v>
      </c>
      <c r="O75" s="16">
        <f>I75*N75</f>
        <v/>
      </c>
      <c r="P75" s="18">
        <f>IFERROR((M75-O75)/M75,0)</f>
        <v/>
      </c>
      <c r="Q75" s="16" t="n">
        <v>158.86</v>
      </c>
      <c r="R75" s="9" t="inlineStr">
        <is>
          <t>Partner</t>
        </is>
      </c>
      <c r="S75" s="9" t="inlineStr">
        <is>
          <t>Jordan Vale</t>
        </is>
      </c>
      <c r="T75" s="9" t="inlineStr">
        <is>
          <t>Shipped</t>
        </is>
      </c>
      <c r="U75" s="10" t="n">
        <v>82</v>
      </c>
      <c r="V75" s="9" t="inlineStr"/>
    </row>
    <row r="76">
      <c r="A76" s="7" t="inlineStr">
        <is>
          <t>AP-30541</t>
        </is>
      </c>
      <c r="B76" s="23" t="n">
        <v>46292</v>
      </c>
      <c r="C76" s="7">
        <f>TEXT(B76,"yyyy-mm")</f>
        <v/>
      </c>
      <c r="D76" s="7" t="inlineStr">
        <is>
          <t>DIR-000</t>
        </is>
      </c>
      <c r="E76" s="9" t="inlineStr">
        <is>
          <t>Apex Instruments direct</t>
        </is>
      </c>
      <c r="F76" s="9" t="inlineStr">
        <is>
          <t>House</t>
        </is>
      </c>
      <c r="G76" s="9" t="inlineStr">
        <is>
          <t>Tampa</t>
        </is>
      </c>
      <c r="H76" s="9" t="inlineStr">
        <is>
          <t>On-site training</t>
        </is>
      </c>
      <c r="I76" s="10" t="n">
        <v>3</v>
      </c>
      <c r="J76" s="16" t="n">
        <v>650</v>
      </c>
      <c r="K76" s="18" t="n">
        <v>0.05</v>
      </c>
      <c r="L76" s="16">
        <f>I76*J76</f>
        <v/>
      </c>
      <c r="M76" s="16">
        <f>ROUND(L76*(1-K76),2)</f>
        <v/>
      </c>
      <c r="N76" s="16" t="n">
        <v>429</v>
      </c>
      <c r="O76" s="16">
        <f>I76*N76</f>
        <v/>
      </c>
      <c r="P76" s="18">
        <f>IFERROR((M76-O76)/M76,0)</f>
        <v/>
      </c>
      <c r="Q76" s="16" t="n">
        <v>0</v>
      </c>
      <c r="R76" s="9" t="inlineStr">
        <is>
          <t>Direct</t>
        </is>
      </c>
      <c r="S76" s="9" t="inlineStr">
        <is>
          <t>Avery Kellen</t>
        </is>
      </c>
      <c r="T76" s="9" t="inlineStr">
        <is>
          <t>Shipped</t>
        </is>
      </c>
      <c r="U76" s="10" t="n">
        <v>83</v>
      </c>
      <c r="V76" s="9" t="inlineStr"/>
    </row>
    <row r="77">
      <c r="A77" s="7" t="inlineStr">
        <is>
          <t>AP-30550</t>
        </is>
      </c>
      <c r="B77" s="23" t="n">
        <v>46206</v>
      </c>
      <c r="C77" s="7">
        <f>TEXT(B77,"yyyy-mm")</f>
        <v/>
      </c>
      <c r="D77" s="7" t="inlineStr">
        <is>
          <t>NLG-036</t>
        </is>
      </c>
      <c r="E77" s="9" t="inlineStr">
        <is>
          <t>Northlight Group</t>
        </is>
      </c>
      <c r="F77" s="9" t="inlineStr">
        <is>
          <t>Gulf Coast</t>
        </is>
      </c>
      <c r="G77" s="9" t="inlineStr">
        <is>
          <t>Clearwater</t>
        </is>
      </c>
      <c r="H77" s="9" t="inlineStr">
        <is>
          <t>Meridian Field Kit</t>
        </is>
      </c>
      <c r="I77" s="10" t="n">
        <v>3</v>
      </c>
      <c r="J77" s="16" t="n">
        <v>1240</v>
      </c>
      <c r="K77" s="18" t="n">
        <v>0.12</v>
      </c>
      <c r="L77" s="16">
        <f>I77*J77</f>
        <v/>
      </c>
      <c r="M77" s="16">
        <f>ROUND(L77*(1-K77),2)</f>
        <v/>
      </c>
      <c r="N77" s="16" t="n">
        <v>806</v>
      </c>
      <c r="O77" s="16">
        <f>I77*N77</f>
        <v/>
      </c>
      <c r="P77" s="18">
        <f>IFERROR((M77-O77)/M77,0)</f>
        <v/>
      </c>
      <c r="Q77" s="16" t="n">
        <v>37.08</v>
      </c>
      <c r="R77" s="9" t="inlineStr">
        <is>
          <t>Partner</t>
        </is>
      </c>
      <c r="S77" s="9" t="inlineStr">
        <is>
          <t>Avery Kellen</t>
        </is>
      </c>
      <c r="T77" s="9" t="inlineStr">
        <is>
          <t>Shipped</t>
        </is>
      </c>
      <c r="U77" s="10" t="n">
        <v>84</v>
      </c>
      <c r="V77" s="9" t="inlineStr"/>
    </row>
    <row r="78">
      <c r="A78" s="7" t="inlineStr">
        <is>
          <t>AP-30557</t>
        </is>
      </c>
      <c r="B78" s="23" t="n">
        <v>46277</v>
      </c>
      <c r="C78" s="7">
        <f>TEXT(B78,"yyyy-mm")</f>
        <v/>
      </c>
      <c r="D78" s="7" t="inlineStr">
        <is>
          <t>NLG-036</t>
        </is>
      </c>
      <c r="E78" s="9" t="inlineStr">
        <is>
          <t>Northlight Group</t>
        </is>
      </c>
      <c r="F78" s="9" t="inlineStr">
        <is>
          <t>Gulf Coast</t>
        </is>
      </c>
      <c r="G78" s="9" t="inlineStr">
        <is>
          <t>Clearwater</t>
        </is>
      </c>
      <c r="H78" s="9" t="inlineStr">
        <is>
          <t>Calibration service</t>
        </is>
      </c>
      <c r="I78" s="10" t="n">
        <v>1</v>
      </c>
      <c r="J78" s="16" t="n">
        <v>180</v>
      </c>
      <c r="K78" s="18" t="n">
        <v>0</v>
      </c>
      <c r="L78" s="16">
        <f>I78*J78</f>
        <v/>
      </c>
      <c r="M78" s="16">
        <f>ROUND(L78*(1-K78),2)</f>
        <v/>
      </c>
      <c r="N78" s="16" t="n">
        <v>99</v>
      </c>
      <c r="O78" s="16">
        <f>I78*N78</f>
        <v/>
      </c>
      <c r="P78" s="18">
        <f>IFERROR((M78-O78)/M78,0)</f>
        <v/>
      </c>
      <c r="Q78" s="16" t="n">
        <v>0</v>
      </c>
      <c r="R78" s="9" t="inlineStr">
        <is>
          <t>Partner</t>
        </is>
      </c>
      <c r="S78" s="9" t="inlineStr">
        <is>
          <t>Morgan Reyes</t>
        </is>
      </c>
      <c r="T78" s="9" t="inlineStr">
        <is>
          <t>Invoiced</t>
        </is>
      </c>
      <c r="U78" s="10" t="n">
        <v>85</v>
      </c>
      <c r="V78" s="9" t="inlineStr">
        <is>
          <t>Backorder cleared</t>
        </is>
      </c>
    </row>
    <row r="79">
      <c r="A79" s="7" t="inlineStr">
        <is>
          <t>AP-30561</t>
        </is>
      </c>
      <c r="B79" s="23" t="n">
        <v>46232</v>
      </c>
      <c r="C79" s="7">
        <f>TEXT(B79,"yyyy-mm")</f>
        <v/>
      </c>
      <c r="D79" s="7" t="inlineStr">
        <is>
          <t>NLG-031</t>
        </is>
      </c>
      <c r="E79" s="9" t="inlineStr">
        <is>
          <t>Northlight Group</t>
        </is>
      </c>
      <c r="F79" s="9" t="inlineStr">
        <is>
          <t>Gulf Coast</t>
        </is>
      </c>
      <c r="G79" s="9" t="inlineStr">
        <is>
          <t>Sarasota</t>
        </is>
      </c>
      <c r="H79" s="9" t="inlineStr">
        <is>
          <t>Meridian Pro</t>
        </is>
      </c>
      <c r="I79" s="10" t="n">
        <v>1</v>
      </c>
      <c r="J79" s="16" t="n">
        <v>7900</v>
      </c>
      <c r="K79" s="18" t="n">
        <v>0.05</v>
      </c>
      <c r="L79" s="16">
        <f>I79*J79</f>
        <v/>
      </c>
      <c r="M79" s="16">
        <f>ROUND(L79*(1-K79),2)</f>
        <v/>
      </c>
      <c r="N79" s="16" t="n">
        <v>4345</v>
      </c>
      <c r="O79" s="16">
        <f>I79*N79</f>
        <v/>
      </c>
      <c r="P79" s="18">
        <f>IFERROR((M79-O79)/M79,0)</f>
        <v/>
      </c>
      <c r="Q79" s="16" t="n">
        <v>45.85</v>
      </c>
      <c r="R79" s="9" t="inlineStr">
        <is>
          <t>Partner</t>
        </is>
      </c>
      <c r="S79" s="9" t="inlineStr">
        <is>
          <t>Sami Torres</t>
        </is>
      </c>
      <c r="T79" s="9" t="inlineStr">
        <is>
          <t>Shipped</t>
        </is>
      </c>
      <c r="U79" s="10" t="n">
        <v>86</v>
      </c>
      <c r="V79" s="9" t="inlineStr"/>
    </row>
    <row r="80">
      <c r="A80" s="7" t="inlineStr">
        <is>
          <t>AP-30571</t>
        </is>
      </c>
      <c r="B80" s="23" t="n">
        <v>46252</v>
      </c>
      <c r="C80" s="7">
        <f>TEXT(B80,"yyyy-mm")</f>
        <v/>
      </c>
      <c r="D80" s="7" t="inlineStr">
        <is>
          <t>NLG-027</t>
        </is>
      </c>
      <c r="E80" s="9" t="inlineStr">
        <is>
          <t>Northlight Group</t>
        </is>
      </c>
      <c r="F80" s="9" t="inlineStr">
        <is>
          <t>Central Florida</t>
        </is>
      </c>
      <c r="G80" s="9" t="inlineStr">
        <is>
          <t>Lakeland</t>
        </is>
      </c>
      <c r="H80" s="9" t="inlineStr">
        <is>
          <t>Meridian Field Kit</t>
        </is>
      </c>
      <c r="I80" s="10" t="n">
        <v>7</v>
      </c>
      <c r="J80" s="16" t="n">
        <v>1240</v>
      </c>
      <c r="K80" s="18" t="n">
        <v>0</v>
      </c>
      <c r="L80" s="16">
        <f>I80*J80</f>
        <v/>
      </c>
      <c r="M80" s="16">
        <f>ROUND(L80*(1-K80),2)</f>
        <v/>
      </c>
      <c r="N80" s="16" t="n">
        <v>806</v>
      </c>
      <c r="O80" s="16">
        <f>I80*N80</f>
        <v/>
      </c>
      <c r="P80" s="18">
        <f>IFERROR((M80-O80)/M80,0)</f>
        <v/>
      </c>
      <c r="Q80" s="16" t="n">
        <v>66.98999999999999</v>
      </c>
      <c r="R80" s="9" t="inlineStr">
        <is>
          <t>Partner</t>
        </is>
      </c>
      <c r="S80" s="9" t="inlineStr">
        <is>
          <t>Morgan Reyes</t>
        </is>
      </c>
      <c r="T80" s="9" t="inlineStr">
        <is>
          <t>Open</t>
        </is>
      </c>
      <c r="U80" s="10" t="n">
        <v>87</v>
      </c>
      <c r="V80" s="9" t="inlineStr"/>
    </row>
    <row r="81">
      <c r="A81" s="7" t="inlineStr">
        <is>
          <t>AP-30577</t>
        </is>
      </c>
      <c r="B81" s="23" t="n">
        <v>46258</v>
      </c>
      <c r="C81" s="7">
        <f>TEXT(B81,"yyyy-mm")</f>
        <v/>
      </c>
      <c r="D81" s="7" t="inlineStr">
        <is>
          <t>NLG-044</t>
        </is>
      </c>
      <c r="E81" s="9" t="inlineStr">
        <is>
          <t>Northlight Group</t>
        </is>
      </c>
      <c r="F81" s="9" t="inlineStr">
        <is>
          <t>Central Florida</t>
        </is>
      </c>
      <c r="G81" s="9" t="inlineStr">
        <is>
          <t>Brandon</t>
        </is>
      </c>
      <c r="H81" s="9" t="inlineStr">
        <is>
          <t>Meridian Field Kit</t>
        </is>
      </c>
      <c r="I81" s="10" t="n">
        <v>7</v>
      </c>
      <c r="J81" s="16" t="n">
        <v>1240</v>
      </c>
      <c r="K81" s="18" t="n">
        <v>0.05</v>
      </c>
      <c r="L81" s="16">
        <f>I81*J81</f>
        <v/>
      </c>
      <c r="M81" s="16">
        <f>ROUND(L81*(1-K81),2)</f>
        <v/>
      </c>
      <c r="N81" s="16" t="n">
        <v>806</v>
      </c>
      <c r="O81" s="16">
        <f>I81*N81</f>
        <v/>
      </c>
      <c r="P81" s="18">
        <f>IFERROR((M81-O81)/M81,0)</f>
        <v/>
      </c>
      <c r="Q81" s="16" t="n">
        <v>100.92</v>
      </c>
      <c r="R81" s="9" t="inlineStr">
        <is>
          <t>Partner</t>
        </is>
      </c>
      <c r="S81" s="9" t="inlineStr">
        <is>
          <t>Morgan Reyes</t>
        </is>
      </c>
      <c r="T81" s="9" t="inlineStr">
        <is>
          <t>Shipped</t>
        </is>
      </c>
      <c r="U81" s="10" t="n">
        <v>88</v>
      </c>
      <c r="V81" s="9" t="inlineStr"/>
    </row>
    <row r="82">
      <c r="A82" s="7" t="inlineStr">
        <is>
          <t>AP-30592</t>
        </is>
      </c>
      <c r="B82" s="23" t="n">
        <v>46238</v>
      </c>
      <c r="C82" s="7">
        <f>TEXT(B82,"yyyy-mm")</f>
        <v/>
      </c>
      <c r="D82" s="7" t="inlineStr">
        <is>
          <t>NLG-022</t>
        </is>
      </c>
      <c r="E82" s="9" t="inlineStr">
        <is>
          <t>Northlight Group</t>
        </is>
      </c>
      <c r="F82" s="9" t="inlineStr">
        <is>
          <t>Central Florida</t>
        </is>
      </c>
      <c r="G82" s="9" t="inlineStr">
        <is>
          <t>Orlando</t>
        </is>
      </c>
      <c r="H82" s="9" t="inlineStr">
        <is>
          <t>On-site training</t>
        </is>
      </c>
      <c r="I82" s="10" t="n">
        <v>3</v>
      </c>
      <c r="J82" s="16" t="n">
        <v>650</v>
      </c>
      <c r="K82" s="18" t="n">
        <v>0.12</v>
      </c>
      <c r="L82" s="16">
        <f>I82*J82</f>
        <v/>
      </c>
      <c r="M82" s="16">
        <f>ROUND(L82*(1-K82),2)</f>
        <v/>
      </c>
      <c r="N82" s="16" t="n">
        <v>429</v>
      </c>
      <c r="O82" s="16">
        <f>I82*N82</f>
        <v/>
      </c>
      <c r="P82" s="18">
        <f>IFERROR((M82-O82)/M82,0)</f>
        <v/>
      </c>
      <c r="Q82" s="16" t="n">
        <v>0</v>
      </c>
      <c r="R82" s="9" t="inlineStr">
        <is>
          <t>Partner</t>
        </is>
      </c>
      <c r="S82" s="9" t="inlineStr">
        <is>
          <t>Morgan Reyes</t>
        </is>
      </c>
      <c r="T82" s="9" t="inlineStr">
        <is>
          <t>Invoiced</t>
        </is>
      </c>
      <c r="U82" s="10" t="n">
        <v>90</v>
      </c>
      <c r="V82" s="9" t="inlineStr">
        <is>
          <t>Backorder cleared</t>
        </is>
      </c>
    </row>
    <row r="83">
      <c r="A83" s="7" t="inlineStr">
        <is>
          <t>AP-30597</t>
        </is>
      </c>
      <c r="B83" s="23" t="n">
        <v>46255</v>
      </c>
      <c r="C83" s="7">
        <f>TEXT(B83,"yyyy-mm")</f>
        <v/>
      </c>
      <c r="D83" s="7" t="inlineStr">
        <is>
          <t>NLG-036</t>
        </is>
      </c>
      <c r="E83" s="9" t="inlineStr">
        <is>
          <t>Northlight Group</t>
        </is>
      </c>
      <c r="F83" s="9" t="inlineStr">
        <is>
          <t>Gulf Coast</t>
        </is>
      </c>
      <c r="G83" s="9" t="inlineStr">
        <is>
          <t>Clearwater</t>
        </is>
      </c>
      <c r="H83" s="9" t="inlineStr">
        <is>
          <t>Calibration service</t>
        </is>
      </c>
      <c r="I83" s="10" t="n">
        <v>6</v>
      </c>
      <c r="J83" s="16" t="n">
        <v>180</v>
      </c>
      <c r="K83" s="18" t="n">
        <v>0.05</v>
      </c>
      <c r="L83" s="16">
        <f>I83*J83</f>
        <v/>
      </c>
      <c r="M83" s="16">
        <f>ROUND(L83*(1-K83),2)</f>
        <v/>
      </c>
      <c r="N83" s="16" t="n">
        <v>99</v>
      </c>
      <c r="O83" s="16">
        <f>I83*N83</f>
        <v/>
      </c>
      <c r="P83" s="18">
        <f>IFERROR((M83-O83)/M83,0)</f>
        <v/>
      </c>
      <c r="Q83" s="16" t="n">
        <v>0</v>
      </c>
      <c r="R83" s="9" t="inlineStr">
        <is>
          <t>Partner</t>
        </is>
      </c>
      <c r="S83" s="9" t="inlineStr">
        <is>
          <t>Jordan Vale</t>
        </is>
      </c>
      <c r="T83" s="9" t="inlineStr">
        <is>
          <t>Shipped</t>
        </is>
      </c>
      <c r="U83" s="10" t="n">
        <v>91</v>
      </c>
      <c r="V83" s="9" t="inlineStr">
        <is>
          <t>Ship with calibration cert</t>
        </is>
      </c>
    </row>
    <row r="84">
      <c r="A84" s="7" t="inlineStr">
        <is>
          <t>AP-30605</t>
        </is>
      </c>
      <c r="B84" s="23" t="n">
        <v>46265</v>
      </c>
      <c r="C84" s="7">
        <f>TEXT(B84,"yyyy-mm")</f>
        <v/>
      </c>
      <c r="D84" s="7" t="inlineStr">
        <is>
          <t>NLG-011</t>
        </is>
      </c>
      <c r="E84" s="9" t="inlineStr">
        <is>
          <t>Northlight Group</t>
        </is>
      </c>
      <c r="F84" s="9" t="inlineStr">
        <is>
          <t>Gulf Coast</t>
        </is>
      </c>
      <c r="G84" s="9" t="inlineStr">
        <is>
          <t>Tampa</t>
        </is>
      </c>
      <c r="H84" s="9" t="inlineStr">
        <is>
          <t>Meridian Field Kit</t>
        </is>
      </c>
      <c r="I84" s="10" t="n">
        <v>5</v>
      </c>
      <c r="J84" s="16" t="n">
        <v>1240</v>
      </c>
      <c r="K84" s="18" t="n">
        <v>0.08</v>
      </c>
      <c r="L84" s="16">
        <f>I84*J84</f>
        <v/>
      </c>
      <c r="M84" s="16">
        <f>ROUND(L84*(1-K84),2)</f>
        <v/>
      </c>
      <c r="N84" s="16" t="n">
        <v>806</v>
      </c>
      <c r="O84" s="16">
        <f>I84*N84</f>
        <v/>
      </c>
      <c r="P84" s="18">
        <f>IFERROR((M84-O84)/M84,0)</f>
        <v/>
      </c>
      <c r="Q84" s="16" t="n">
        <v>59</v>
      </c>
      <c r="R84" s="9" t="inlineStr">
        <is>
          <t>Partner</t>
        </is>
      </c>
      <c r="S84" s="9" t="inlineStr">
        <is>
          <t>Sami Torres</t>
        </is>
      </c>
      <c r="T84" s="9" t="inlineStr">
        <is>
          <t>Open</t>
        </is>
      </c>
      <c r="U84" s="10" t="n">
        <v>92</v>
      </c>
      <c r="V84" s="9" t="inlineStr">
        <is>
          <t>Renewal</t>
        </is>
      </c>
    </row>
    <row r="85">
      <c r="A85" s="7" t="inlineStr">
        <is>
          <t>AP-30609</t>
        </is>
      </c>
      <c r="B85" s="23" t="n">
        <v>46252</v>
      </c>
      <c r="C85" s="7">
        <f>TEXT(B85,"yyyy-mm")</f>
        <v/>
      </c>
      <c r="D85" s="7" t="inlineStr">
        <is>
          <t>DIR-000</t>
        </is>
      </c>
      <c r="E85" s="9" t="inlineStr">
        <is>
          <t>Apex Instruments direct</t>
        </is>
      </c>
      <c r="F85" s="9" t="inlineStr">
        <is>
          <t>House</t>
        </is>
      </c>
      <c r="G85" s="9" t="inlineStr">
        <is>
          <t>Tampa</t>
        </is>
      </c>
      <c r="H85" s="9" t="inlineStr">
        <is>
          <t>Meridian Bench</t>
        </is>
      </c>
      <c r="I85" s="10" t="n">
        <v>2</v>
      </c>
      <c r="J85" s="16" t="n">
        <v>4850</v>
      </c>
      <c r="K85" s="18" t="n">
        <v>0</v>
      </c>
      <c r="L85" s="16">
        <f>I85*J85</f>
        <v/>
      </c>
      <c r="M85" s="16">
        <f>ROUND(L85*(1-K85),2)</f>
        <v/>
      </c>
      <c r="N85" s="16" t="n">
        <v>2910</v>
      </c>
      <c r="O85" s="16">
        <f>I85*N85</f>
        <v/>
      </c>
      <c r="P85" s="18">
        <f>IFERROR((M85-O85)/M85,0)</f>
        <v/>
      </c>
      <c r="Q85" s="16" t="n">
        <v>43.55</v>
      </c>
      <c r="R85" s="9" t="inlineStr">
        <is>
          <t>Direct</t>
        </is>
      </c>
      <c r="S85" s="9" t="inlineStr">
        <is>
          <t>Sami Torres</t>
        </is>
      </c>
      <c r="T85" s="9" t="inlineStr">
        <is>
          <t>Shipped</t>
        </is>
      </c>
      <c r="U85" s="10" t="n">
        <v>93</v>
      </c>
      <c r="V85" s="9" t="inlineStr"/>
    </row>
    <row r="86">
      <c r="A86" s="7" t="inlineStr">
        <is>
          <t>AP-30619</t>
        </is>
      </c>
      <c r="B86" s="23" t="n">
        <v>46219</v>
      </c>
      <c r="C86" s="7">
        <f>TEXT(B86,"yyyy-mm")</f>
        <v/>
      </c>
      <c r="D86" s="7" t="inlineStr">
        <is>
          <t>DIR-000</t>
        </is>
      </c>
      <c r="E86" s="9" t="inlineStr">
        <is>
          <t>Apex Instruments direct</t>
        </is>
      </c>
      <c r="F86" s="9" t="inlineStr">
        <is>
          <t>House</t>
        </is>
      </c>
      <c r="G86" s="9" t="inlineStr">
        <is>
          <t>Tampa</t>
        </is>
      </c>
      <c r="H86" s="9" t="inlineStr">
        <is>
          <t>Atlas Care Plus</t>
        </is>
      </c>
      <c r="I86" s="10" t="n">
        <v>12</v>
      </c>
      <c r="J86" s="16" t="n">
        <v>1788</v>
      </c>
      <c r="K86" s="18" t="n">
        <v>0</v>
      </c>
      <c r="L86" s="16">
        <f>I86*J86</f>
        <v/>
      </c>
      <c r="M86" s="16">
        <f>ROUND(L86*(1-K86),2)</f>
        <v/>
      </c>
      <c r="N86" s="16" t="n">
        <v>447</v>
      </c>
      <c r="O86" s="16">
        <f>I86*N86</f>
        <v/>
      </c>
      <c r="P86" s="18">
        <f>IFERROR((M86-O86)/M86,0)</f>
        <v/>
      </c>
      <c r="Q86" s="16" t="n">
        <v>0</v>
      </c>
      <c r="R86" s="9" t="inlineStr">
        <is>
          <t>Direct</t>
        </is>
      </c>
      <c r="S86" s="9" t="inlineStr">
        <is>
          <t>Sami Torres</t>
        </is>
      </c>
      <c r="T86" s="9" t="inlineStr">
        <is>
          <t>Invoiced</t>
        </is>
      </c>
      <c r="U86" s="10" t="n">
        <v>94</v>
      </c>
      <c r="V86" s="9" t="inlineStr">
        <is>
          <t>PO on file</t>
        </is>
      </c>
    </row>
    <row r="87">
      <c r="A87" s="7" t="inlineStr">
        <is>
          <t>AP-30627</t>
        </is>
      </c>
      <c r="B87" s="23" t="n">
        <v>46220</v>
      </c>
      <c r="C87" s="7">
        <f>TEXT(B87,"yyyy-mm")</f>
        <v/>
      </c>
      <c r="D87" s="7" t="inlineStr">
        <is>
          <t>NLG-036</t>
        </is>
      </c>
      <c r="E87" s="9" t="inlineStr">
        <is>
          <t>Northlight Group</t>
        </is>
      </c>
      <c r="F87" s="9" t="inlineStr">
        <is>
          <t>Gulf Coast</t>
        </is>
      </c>
      <c r="G87" s="9" t="inlineStr">
        <is>
          <t>Clearwater</t>
        </is>
      </c>
      <c r="H87" s="9" t="inlineStr">
        <is>
          <t>On-site training</t>
        </is>
      </c>
      <c r="I87" s="10" t="n">
        <v>1</v>
      </c>
      <c r="J87" s="16" t="n">
        <v>650</v>
      </c>
      <c r="K87" s="18" t="n">
        <v>0.05</v>
      </c>
      <c r="L87" s="16">
        <f>I87*J87</f>
        <v/>
      </c>
      <c r="M87" s="16">
        <f>ROUND(L87*(1-K87),2)</f>
        <v/>
      </c>
      <c r="N87" s="16" t="n">
        <v>429</v>
      </c>
      <c r="O87" s="16">
        <f>I87*N87</f>
        <v/>
      </c>
      <c r="P87" s="18">
        <f>IFERROR((M87-O87)/M87,0)</f>
        <v/>
      </c>
      <c r="Q87" s="16" t="n">
        <v>0</v>
      </c>
      <c r="R87" s="9" t="inlineStr">
        <is>
          <t>Partner</t>
        </is>
      </c>
      <c r="S87" s="9" t="inlineStr">
        <is>
          <t>Avery Kellen</t>
        </is>
      </c>
      <c r="T87" s="9" t="inlineStr">
        <is>
          <t>Open</t>
        </is>
      </c>
      <c r="U87" s="10" t="n">
        <v>95</v>
      </c>
      <c r="V87" s="9" t="inlineStr">
        <is>
          <t>Rush requested</t>
        </is>
      </c>
    </row>
    <row r="88">
      <c r="A88" s="7" t="inlineStr">
        <is>
          <t>AP-30631</t>
        </is>
      </c>
      <c r="B88" s="23" t="n">
        <v>46205</v>
      </c>
      <c r="C88" s="7">
        <f>TEXT(B88,"yyyy-mm")</f>
        <v/>
      </c>
      <c r="D88" s="7" t="inlineStr">
        <is>
          <t>NLG-011</t>
        </is>
      </c>
      <c r="E88" s="9" t="inlineStr">
        <is>
          <t>Northlight Group</t>
        </is>
      </c>
      <c r="F88" s="9" t="inlineStr">
        <is>
          <t>Gulf Coast</t>
        </is>
      </c>
      <c r="G88" s="9" t="inlineStr">
        <is>
          <t>Tampa</t>
        </is>
      </c>
      <c r="H88" s="9" t="inlineStr">
        <is>
          <t>Atlas Care Plus</t>
        </is>
      </c>
      <c r="I88" s="10" t="n">
        <v>6</v>
      </c>
      <c r="J88" s="16" t="n">
        <v>1788</v>
      </c>
      <c r="K88" s="18" t="n">
        <v>0</v>
      </c>
      <c r="L88" s="16">
        <f>I88*J88</f>
        <v/>
      </c>
      <c r="M88" s="16">
        <f>ROUND(L88*(1-K88),2)</f>
        <v/>
      </c>
      <c r="N88" s="16" t="n">
        <v>447</v>
      </c>
      <c r="O88" s="16">
        <f>I88*N88</f>
        <v/>
      </c>
      <c r="P88" s="18">
        <f>IFERROR((M88-O88)/M88,0)</f>
        <v/>
      </c>
      <c r="Q88" s="16" t="n">
        <v>0</v>
      </c>
      <c r="R88" s="9" t="inlineStr">
        <is>
          <t>Partner</t>
        </is>
      </c>
      <c r="S88" s="9" t="inlineStr">
        <is>
          <t>Jordan Vale</t>
        </is>
      </c>
      <c r="T88" s="9" t="inlineStr">
        <is>
          <t>Invoiced</t>
        </is>
      </c>
      <c r="U88" s="10" t="n">
        <v>96</v>
      </c>
      <c r="V88" s="9" t="inlineStr">
        <is>
          <t>Quote 2026-Q3 pricing</t>
        </is>
      </c>
    </row>
    <row r="89">
      <c r="A89" s="7" t="inlineStr">
        <is>
          <t>AP-30638</t>
        </is>
      </c>
      <c r="B89" s="23" t="n">
        <v>46257</v>
      </c>
      <c r="C89" s="7">
        <f>TEXT(B89,"yyyy-mm")</f>
        <v/>
      </c>
      <c r="D89" s="7" t="inlineStr">
        <is>
          <t>NLG-044</t>
        </is>
      </c>
      <c r="E89" s="9" t="inlineStr">
        <is>
          <t>Northlight Group</t>
        </is>
      </c>
      <c r="F89" s="9" t="inlineStr">
        <is>
          <t>Central Florida</t>
        </is>
      </c>
      <c r="G89" s="9" t="inlineStr">
        <is>
          <t>Brandon</t>
        </is>
      </c>
      <c r="H89" s="9" t="inlineStr">
        <is>
          <t>Atlas Care Plus</t>
        </is>
      </c>
      <c r="I89" s="10" t="n">
        <v>2</v>
      </c>
      <c r="J89" s="16" t="n">
        <v>1788</v>
      </c>
      <c r="K89" s="18" t="n">
        <v>0</v>
      </c>
      <c r="L89" s="16">
        <f>I89*J89</f>
        <v/>
      </c>
      <c r="M89" s="16">
        <f>ROUND(L89*(1-K89),2)</f>
        <v/>
      </c>
      <c r="N89" s="16" t="n">
        <v>447</v>
      </c>
      <c r="O89" s="16">
        <f>I89*N89</f>
        <v/>
      </c>
      <c r="P89" s="18">
        <f>IFERROR((M89-O89)/M89,0)</f>
        <v/>
      </c>
      <c r="Q89" s="16" t="n">
        <v>0</v>
      </c>
      <c r="R89" s="9" t="inlineStr">
        <is>
          <t>Partner</t>
        </is>
      </c>
      <c r="S89" s="9" t="inlineStr">
        <is>
          <t>Sami Torres</t>
        </is>
      </c>
      <c r="T89" s="9" t="inlineStr">
        <is>
          <t>Shipped</t>
        </is>
      </c>
      <c r="U89" s="10" t="n">
        <v>97</v>
      </c>
      <c r="V89" s="9" t="inlineStr">
        <is>
          <t>Renewal</t>
        </is>
      </c>
    </row>
    <row r="90">
      <c r="A90" s="7" t="inlineStr">
        <is>
          <t>AP-30646</t>
        </is>
      </c>
      <c r="B90" s="23" t="n">
        <v>46261</v>
      </c>
      <c r="C90" s="7">
        <f>TEXT(B90,"yyyy-mm")</f>
        <v/>
      </c>
      <c r="D90" s="7" t="inlineStr">
        <is>
          <t>NLG-031</t>
        </is>
      </c>
      <c r="E90" s="9" t="inlineStr">
        <is>
          <t>Northlight Group</t>
        </is>
      </c>
      <c r="F90" s="9" t="inlineStr">
        <is>
          <t>Gulf Coast</t>
        </is>
      </c>
      <c r="G90" s="9" t="inlineStr">
        <is>
          <t>Sarasota</t>
        </is>
      </c>
      <c r="H90" s="9" t="inlineStr">
        <is>
          <t>Meridian Field Kit</t>
        </is>
      </c>
      <c r="I90" s="10" t="n">
        <v>4</v>
      </c>
      <c r="J90" s="16" t="n">
        <v>1240</v>
      </c>
      <c r="K90" s="18" t="n">
        <v>0</v>
      </c>
      <c r="L90" s="16">
        <f>I90*J90</f>
        <v/>
      </c>
      <c r="M90" s="16">
        <f>ROUND(L90*(1-K90),2)</f>
        <v/>
      </c>
      <c r="N90" s="16" t="n">
        <v>806</v>
      </c>
      <c r="O90" s="16">
        <f>I90*N90</f>
        <v/>
      </c>
      <c r="P90" s="18">
        <f>IFERROR((M90-O90)/M90,0)</f>
        <v/>
      </c>
      <c r="Q90" s="16" t="n">
        <v>36.01</v>
      </c>
      <c r="R90" s="9" t="inlineStr">
        <is>
          <t>Partner</t>
        </is>
      </c>
      <c r="S90" s="9" t="inlineStr">
        <is>
          <t>Jordan Vale</t>
        </is>
      </c>
      <c r="T90" s="9" t="inlineStr">
        <is>
          <t>Shipped</t>
        </is>
      </c>
      <c r="U90" s="10" t="n">
        <v>98</v>
      </c>
      <c r="V90" s="9" t="inlineStr">
        <is>
          <t>Quote 2026-Q3 pricing</t>
        </is>
      </c>
    </row>
    <row r="91">
      <c r="A91" s="7" t="inlineStr">
        <is>
          <t>AP-30653</t>
        </is>
      </c>
      <c r="B91" s="23" t="n">
        <v>46221</v>
      </c>
      <c r="C91" s="7">
        <f>TEXT(B91,"yyyy-mm")</f>
        <v/>
      </c>
      <c r="D91" s="7" t="inlineStr">
        <is>
          <t>NLG-031</t>
        </is>
      </c>
      <c r="E91" s="9" t="inlineStr">
        <is>
          <t>Northlight Group</t>
        </is>
      </c>
      <c r="F91" s="9" t="inlineStr">
        <is>
          <t>Gulf Coast</t>
        </is>
      </c>
      <c r="G91" s="9" t="inlineStr">
        <is>
          <t>Sarasota</t>
        </is>
      </c>
      <c r="H91" s="9" t="inlineStr">
        <is>
          <t>Atlas Care Plus</t>
        </is>
      </c>
      <c r="I91" s="10" t="n">
        <v>4</v>
      </c>
      <c r="J91" s="16" t="n">
        <v>1788</v>
      </c>
      <c r="K91" s="18" t="n">
        <v>0.05</v>
      </c>
      <c r="L91" s="16">
        <f>I91*J91</f>
        <v/>
      </c>
      <c r="M91" s="16">
        <f>ROUND(L91*(1-K91),2)</f>
        <v/>
      </c>
      <c r="N91" s="16" t="n">
        <v>447</v>
      </c>
      <c r="O91" s="16">
        <f>I91*N91</f>
        <v/>
      </c>
      <c r="P91" s="18">
        <f>IFERROR((M91-O91)/M91,0)</f>
        <v/>
      </c>
      <c r="Q91" s="16" t="n">
        <v>0</v>
      </c>
      <c r="R91" s="9" t="inlineStr">
        <is>
          <t>Partner</t>
        </is>
      </c>
      <c r="S91" s="9" t="inlineStr">
        <is>
          <t>Avery Kellen</t>
        </is>
      </c>
      <c r="T91" s="9" t="inlineStr">
        <is>
          <t>Shipped</t>
        </is>
      </c>
      <c r="U91" s="10" t="n">
        <v>99</v>
      </c>
      <c r="V91" s="9" t="inlineStr"/>
    </row>
    <row r="92">
      <c r="A92" s="7" t="inlineStr">
        <is>
          <t>AP-30658</t>
        </is>
      </c>
      <c r="B92" s="23" t="n">
        <v>46249</v>
      </c>
      <c r="C92" s="7">
        <f>TEXT(B92,"yyyy-mm")</f>
        <v/>
      </c>
      <c r="D92" s="7" t="inlineStr">
        <is>
          <t>NLG-014</t>
        </is>
      </c>
      <c r="E92" s="9" t="inlineStr">
        <is>
          <t>Northlight Group</t>
        </is>
      </c>
      <c r="F92" s="9" t="inlineStr">
        <is>
          <t>Gulf Coast</t>
        </is>
      </c>
      <c r="G92" s="9" t="inlineStr">
        <is>
          <t>St. Petersburg</t>
        </is>
      </c>
      <c r="H92" s="9" t="inlineStr">
        <is>
          <t>Meridian Bench</t>
        </is>
      </c>
      <c r="I92" s="10" t="n">
        <v>1</v>
      </c>
      <c r="J92" s="16" t="n">
        <v>4850</v>
      </c>
      <c r="K92" s="18" t="n">
        <v>0</v>
      </c>
      <c r="L92" s="16">
        <f>I92*J92</f>
        <v/>
      </c>
      <c r="M92" s="16">
        <f>ROUND(L92*(1-K92),2)</f>
        <v/>
      </c>
      <c r="N92" s="16" t="n">
        <v>2910</v>
      </c>
      <c r="O92" s="16">
        <f>I92*N92</f>
        <v/>
      </c>
      <c r="P92" s="18">
        <f>IFERROR((M92-O92)/M92,0)</f>
        <v/>
      </c>
      <c r="Q92" s="16" t="n">
        <v>71.62</v>
      </c>
      <c r="R92" s="9" t="inlineStr">
        <is>
          <t>Partner</t>
        </is>
      </c>
      <c r="S92" s="9" t="inlineStr">
        <is>
          <t>Morgan Reyes</t>
        </is>
      </c>
      <c r="T92" s="9" t="inlineStr">
        <is>
          <t>Open</t>
        </is>
      </c>
      <c r="U92" s="10" t="n">
        <v>100</v>
      </c>
      <c r="V92" s="9" t="inlineStr">
        <is>
          <t>PO on file</t>
        </is>
      </c>
    </row>
    <row r="93">
      <c r="A93" s="7" t="inlineStr">
        <is>
          <t>AP-30665</t>
        </is>
      </c>
      <c r="B93" s="23" t="n">
        <v>46252</v>
      </c>
      <c r="C93" s="7">
        <f>TEXT(B93,"yyyy-mm")</f>
        <v/>
      </c>
      <c r="D93" s="7" t="inlineStr">
        <is>
          <t>DIR-000</t>
        </is>
      </c>
      <c r="E93" s="9" t="inlineStr">
        <is>
          <t>Apex Instruments direct</t>
        </is>
      </c>
      <c r="F93" s="9" t="inlineStr">
        <is>
          <t>House</t>
        </is>
      </c>
      <c r="G93" s="9" t="inlineStr">
        <is>
          <t>Tampa</t>
        </is>
      </c>
      <c r="H93" s="9" t="inlineStr">
        <is>
          <t>On-site training</t>
        </is>
      </c>
      <c r="I93" s="10" t="n">
        <v>2</v>
      </c>
      <c r="J93" s="16" t="n">
        <v>650</v>
      </c>
      <c r="K93" s="18" t="n">
        <v>0</v>
      </c>
      <c r="L93" s="16">
        <f>I93*J93</f>
        <v/>
      </c>
      <c r="M93" s="16">
        <f>ROUND(L93*(1-K93),2)</f>
        <v/>
      </c>
      <c r="N93" s="16" t="n">
        <v>429</v>
      </c>
      <c r="O93" s="16">
        <f>I93*N93</f>
        <v/>
      </c>
      <c r="P93" s="18">
        <f>IFERROR((M93-O93)/M93,0)</f>
        <v/>
      </c>
      <c r="Q93" s="16" t="n">
        <v>0</v>
      </c>
      <c r="R93" s="9" t="inlineStr">
        <is>
          <t>Direct</t>
        </is>
      </c>
      <c r="S93" s="9" t="inlineStr">
        <is>
          <t>Jordan Vale</t>
        </is>
      </c>
      <c r="T93" s="9" t="inlineStr">
        <is>
          <t>Shipped</t>
        </is>
      </c>
      <c r="U93" s="10" t="n">
        <v>101</v>
      </c>
      <c r="V93" s="9" t="inlineStr"/>
    </row>
    <row r="94">
      <c r="A94" s="7" t="inlineStr">
        <is>
          <t>AP-30681</t>
        </is>
      </c>
      <c r="B94" s="23" t="n">
        <v>46269</v>
      </c>
      <c r="C94" s="7">
        <f>TEXT(B94,"yyyy-mm")</f>
        <v/>
      </c>
      <c r="D94" s="7" t="inlineStr">
        <is>
          <t>NLG-027</t>
        </is>
      </c>
      <c r="E94" s="9" t="inlineStr">
        <is>
          <t>Northlight Group</t>
        </is>
      </c>
      <c r="F94" s="9" t="inlineStr">
        <is>
          <t>Central Florida</t>
        </is>
      </c>
      <c r="G94" s="9" t="inlineStr">
        <is>
          <t>Lakeland</t>
        </is>
      </c>
      <c r="H94" s="9" t="inlineStr">
        <is>
          <t>Meridian Bench</t>
        </is>
      </c>
      <c r="I94" s="10" t="n">
        <v>1</v>
      </c>
      <c r="J94" s="16" t="n">
        <v>4850</v>
      </c>
      <c r="K94" s="18" t="n">
        <v>0</v>
      </c>
      <c r="L94" s="16">
        <f>I94*J94</f>
        <v/>
      </c>
      <c r="M94" s="16">
        <f>ROUND(L94*(1-K94),2)</f>
        <v/>
      </c>
      <c r="N94" s="16" t="n">
        <v>2910</v>
      </c>
      <c r="O94" s="16">
        <f>I94*N94</f>
        <v/>
      </c>
      <c r="P94" s="18">
        <f>IFERROR((M94-O94)/M94,0)</f>
        <v/>
      </c>
      <c r="Q94" s="16" t="n">
        <v>42.26</v>
      </c>
      <c r="R94" s="9" t="inlineStr">
        <is>
          <t>Partner</t>
        </is>
      </c>
      <c r="S94" s="9" t="inlineStr">
        <is>
          <t>Sami Torres</t>
        </is>
      </c>
      <c r="T94" s="9" t="inlineStr">
        <is>
          <t>Shipped</t>
        </is>
      </c>
      <c r="U94" s="10" t="n">
        <v>103</v>
      </c>
      <c r="V94" s="9" t="inlineStr">
        <is>
          <t>Replaces damaged unit</t>
        </is>
      </c>
    </row>
    <row r="95">
      <c r="A95" s="7" t="inlineStr">
        <is>
          <t>AP-30687</t>
        </is>
      </c>
      <c r="B95" s="23" t="n">
        <v>46280</v>
      </c>
      <c r="C95" s="7">
        <f>TEXT(B95,"yyyy-mm")</f>
        <v/>
      </c>
      <c r="D95" s="7" t="inlineStr">
        <is>
          <t>DIR-000</t>
        </is>
      </c>
      <c r="E95" s="9" t="inlineStr">
        <is>
          <t>Apex Instruments direct</t>
        </is>
      </c>
      <c r="F95" s="9" t="inlineStr">
        <is>
          <t>House</t>
        </is>
      </c>
      <c r="G95" s="9" t="inlineStr">
        <is>
          <t>Tampa</t>
        </is>
      </c>
      <c r="H95" s="9" t="inlineStr">
        <is>
          <t>Atlas Care Plus</t>
        </is>
      </c>
      <c r="I95" s="10" t="n">
        <v>6</v>
      </c>
      <c r="J95" s="16" t="n">
        <v>1788</v>
      </c>
      <c r="K95" s="18" t="n">
        <v>0.12</v>
      </c>
      <c r="L95" s="16">
        <f>I95*J95</f>
        <v/>
      </c>
      <c r="M95" s="16">
        <f>ROUND(L95*(1-K95),2)</f>
        <v/>
      </c>
      <c r="N95" s="16" t="n">
        <v>447</v>
      </c>
      <c r="O95" s="16">
        <f>I95*N95</f>
        <v/>
      </c>
      <c r="P95" s="18">
        <f>IFERROR((M95-O95)/M95,0)</f>
        <v/>
      </c>
      <c r="Q95" s="16" t="n">
        <v>0</v>
      </c>
      <c r="R95" s="9" t="inlineStr">
        <is>
          <t>Direct</t>
        </is>
      </c>
      <c r="S95" s="9" t="inlineStr">
        <is>
          <t>Morgan Reyes</t>
        </is>
      </c>
      <c r="T95" s="9" t="inlineStr">
        <is>
          <t>Shipped</t>
        </is>
      </c>
      <c r="U95" s="10" t="n">
        <v>104</v>
      </c>
      <c r="V95" s="9" t="inlineStr"/>
    </row>
    <row r="96">
      <c r="A96" s="7" t="inlineStr">
        <is>
          <t>AP-30694</t>
        </is>
      </c>
      <c r="B96" s="23" t="n">
        <v>46236</v>
      </c>
      <c r="C96" s="7">
        <f>TEXT(B96,"yyyy-mm")</f>
        <v/>
      </c>
      <c r="D96" s="7" t="inlineStr">
        <is>
          <t>NLG-014</t>
        </is>
      </c>
      <c r="E96" s="9" t="inlineStr">
        <is>
          <t>Northlight Group</t>
        </is>
      </c>
      <c r="F96" s="9" t="inlineStr">
        <is>
          <t>Gulf Coast</t>
        </is>
      </c>
      <c r="G96" s="9" t="inlineStr">
        <is>
          <t>St. Petersburg</t>
        </is>
      </c>
      <c r="H96" s="9" t="inlineStr">
        <is>
          <t>Calibration service</t>
        </is>
      </c>
      <c r="I96" s="10" t="n">
        <v>6</v>
      </c>
      <c r="J96" s="16" t="n">
        <v>180</v>
      </c>
      <c r="K96" s="18" t="n">
        <v>0</v>
      </c>
      <c r="L96" s="16">
        <f>I96*J96</f>
        <v/>
      </c>
      <c r="M96" s="16">
        <f>ROUND(L96*(1-K96),2)</f>
        <v/>
      </c>
      <c r="N96" s="16" t="n">
        <v>99</v>
      </c>
      <c r="O96" s="16">
        <f>I96*N96</f>
        <v/>
      </c>
      <c r="P96" s="18">
        <f>IFERROR((M96-O96)/M96,0)</f>
        <v/>
      </c>
      <c r="Q96" s="16" t="n">
        <v>0</v>
      </c>
      <c r="R96" s="9" t="inlineStr">
        <is>
          <t>Partner</t>
        </is>
      </c>
      <c r="S96" s="9" t="inlineStr">
        <is>
          <t>Sami Torres</t>
        </is>
      </c>
      <c r="T96" s="9" t="inlineStr">
        <is>
          <t>Shipped</t>
        </is>
      </c>
      <c r="U96" s="10" t="n">
        <v>105</v>
      </c>
      <c r="V96" s="9" t="inlineStr">
        <is>
          <t>Renewal</t>
        </is>
      </c>
    </row>
    <row r="97">
      <c r="A97" s="7" t="inlineStr">
        <is>
          <t>AP-30702</t>
        </is>
      </c>
      <c r="B97" s="23" t="n">
        <v>46282</v>
      </c>
      <c r="C97" s="7">
        <f>TEXT(B97,"yyyy-mm")</f>
        <v/>
      </c>
      <c r="D97" s="7" t="inlineStr">
        <is>
          <t>NLG-022</t>
        </is>
      </c>
      <c r="E97" s="9" t="inlineStr">
        <is>
          <t>Northlight Group</t>
        </is>
      </c>
      <c r="F97" s="9" t="inlineStr">
        <is>
          <t>Central Florida</t>
        </is>
      </c>
      <c r="G97" s="9" t="inlineStr">
        <is>
          <t>Orlando</t>
        </is>
      </c>
      <c r="H97" s="9" t="inlineStr">
        <is>
          <t>Calibration service</t>
        </is>
      </c>
      <c r="I97" s="10" t="n">
        <v>4</v>
      </c>
      <c r="J97" s="16" t="n">
        <v>180</v>
      </c>
      <c r="K97" s="18" t="n">
        <v>0</v>
      </c>
      <c r="L97" s="16">
        <f>I97*J97</f>
        <v/>
      </c>
      <c r="M97" s="16">
        <f>ROUND(L97*(1-K97),2)</f>
        <v/>
      </c>
      <c r="N97" s="16" t="n">
        <v>99</v>
      </c>
      <c r="O97" s="16">
        <f>I97*N97</f>
        <v/>
      </c>
      <c r="P97" s="18">
        <f>IFERROR((M97-O97)/M97,0)</f>
        <v/>
      </c>
      <c r="Q97" s="16" t="n">
        <v>0</v>
      </c>
      <c r="R97" s="9" t="inlineStr">
        <is>
          <t>Partner</t>
        </is>
      </c>
      <c r="S97" s="9" t="inlineStr">
        <is>
          <t>Avery Kellen</t>
        </is>
      </c>
      <c r="T97" s="9" t="inlineStr">
        <is>
          <t>Invoiced</t>
        </is>
      </c>
      <c r="U97" s="10" t="n">
        <v>106</v>
      </c>
      <c r="V97" s="9" t="inlineStr"/>
    </row>
    <row r="98">
      <c r="A98" s="7" t="inlineStr">
        <is>
          <t>AP-30708</t>
        </is>
      </c>
      <c r="B98" s="23" t="n">
        <v>46262</v>
      </c>
      <c r="C98" s="7">
        <f>TEXT(B98,"yyyy-mm")</f>
        <v/>
      </c>
      <c r="D98" s="7" t="inlineStr">
        <is>
          <t>NLG-011</t>
        </is>
      </c>
      <c r="E98" s="9" t="inlineStr">
        <is>
          <t>Northlight Group</t>
        </is>
      </c>
      <c r="F98" s="9" t="inlineStr">
        <is>
          <t>Gulf Coast</t>
        </is>
      </c>
      <c r="G98" s="9" t="inlineStr">
        <is>
          <t>Tampa</t>
        </is>
      </c>
      <c r="H98" s="9" t="inlineStr">
        <is>
          <t>Meridian Field Kit</t>
        </is>
      </c>
      <c r="I98" s="10" t="n">
        <v>4</v>
      </c>
      <c r="J98" s="16" t="n">
        <v>1240</v>
      </c>
      <c r="K98" s="18" t="n">
        <v>0</v>
      </c>
      <c r="L98" s="16">
        <f>I98*J98</f>
        <v/>
      </c>
      <c r="M98" s="16">
        <f>ROUND(L98*(1-K98),2)</f>
        <v/>
      </c>
      <c r="N98" s="16" t="n">
        <v>806</v>
      </c>
      <c r="O98" s="16">
        <f>I98*N98</f>
        <v/>
      </c>
      <c r="P98" s="18">
        <f>IFERROR((M98-O98)/M98,0)</f>
        <v/>
      </c>
      <c r="Q98" s="16" t="n">
        <v>120.29</v>
      </c>
      <c r="R98" s="9" t="inlineStr">
        <is>
          <t>Partner</t>
        </is>
      </c>
      <c r="S98" s="9" t="inlineStr">
        <is>
          <t>Sami Torres</t>
        </is>
      </c>
      <c r="T98" s="9" t="inlineStr">
        <is>
          <t>Open</t>
        </is>
      </c>
      <c r="U98" s="10" t="n">
        <v>107</v>
      </c>
      <c r="V98" s="9" t="inlineStr"/>
    </row>
    <row r="99">
      <c r="A99" s="7" t="inlineStr">
        <is>
          <t>AP-30714</t>
        </is>
      </c>
      <c r="B99" s="23" t="n">
        <v>46219</v>
      </c>
      <c r="C99" s="7">
        <f>TEXT(B99,"yyyy-mm")</f>
        <v/>
      </c>
      <c r="D99" s="7" t="inlineStr">
        <is>
          <t>NLG-011</t>
        </is>
      </c>
      <c r="E99" s="9" t="inlineStr">
        <is>
          <t>Northlight Group</t>
        </is>
      </c>
      <c r="F99" s="9" t="inlineStr">
        <is>
          <t>Gulf Coast</t>
        </is>
      </c>
      <c r="G99" s="9" t="inlineStr">
        <is>
          <t>Tampa</t>
        </is>
      </c>
      <c r="H99" s="9" t="inlineStr">
        <is>
          <t>Calibration service</t>
        </is>
      </c>
      <c r="I99" s="10" t="n">
        <v>5</v>
      </c>
      <c r="J99" s="16" t="n">
        <v>180</v>
      </c>
      <c r="K99" s="18" t="n">
        <v>0.05</v>
      </c>
      <c r="L99" s="16">
        <f>I99*J99</f>
        <v/>
      </c>
      <c r="M99" s="16">
        <f>ROUND(L99*(1-K99),2)</f>
        <v/>
      </c>
      <c r="N99" s="16" t="n">
        <v>99</v>
      </c>
      <c r="O99" s="16">
        <f>I99*N99</f>
        <v/>
      </c>
      <c r="P99" s="18">
        <f>IFERROR((M99-O99)/M99,0)</f>
        <v/>
      </c>
      <c r="Q99" s="16" t="n">
        <v>0</v>
      </c>
      <c r="R99" s="9" t="inlineStr">
        <is>
          <t>Partner</t>
        </is>
      </c>
      <c r="S99" s="9" t="inlineStr">
        <is>
          <t>Avery Kellen</t>
        </is>
      </c>
      <c r="T99" s="9" t="inlineStr">
        <is>
          <t>Open</t>
        </is>
      </c>
      <c r="U99" s="10" t="n">
        <v>108</v>
      </c>
      <c r="V99" s="9" t="inlineStr">
        <is>
          <t>Ship with calibration cert</t>
        </is>
      </c>
    </row>
    <row r="100">
      <c r="A100" s="7" t="inlineStr">
        <is>
          <t>AP-30722</t>
        </is>
      </c>
      <c r="B100" s="23" t="n">
        <v>46252</v>
      </c>
      <c r="C100" s="7">
        <f>TEXT(B100,"yyyy-mm")</f>
        <v/>
      </c>
      <c r="D100" s="7" t="inlineStr">
        <is>
          <t>DIR-000</t>
        </is>
      </c>
      <c r="E100" s="9" t="inlineStr">
        <is>
          <t>Apex Instruments direct</t>
        </is>
      </c>
      <c r="F100" s="9" t="inlineStr">
        <is>
          <t>House</t>
        </is>
      </c>
      <c r="G100" s="9" t="inlineStr">
        <is>
          <t>Tampa</t>
        </is>
      </c>
      <c r="H100" s="9" t="inlineStr">
        <is>
          <t>Meridian Field Kit</t>
        </is>
      </c>
      <c r="I100" s="10" t="n">
        <v>2</v>
      </c>
      <c r="J100" s="16" t="n">
        <v>1240</v>
      </c>
      <c r="K100" s="18" t="n">
        <v>0.08</v>
      </c>
      <c r="L100" s="16">
        <f>I100*J100</f>
        <v/>
      </c>
      <c r="M100" s="16">
        <f>ROUND(L100*(1-K100),2)</f>
        <v/>
      </c>
      <c r="N100" s="16" t="n">
        <v>806</v>
      </c>
      <c r="O100" s="16">
        <f>I100*N100</f>
        <v/>
      </c>
      <c r="P100" s="18">
        <f>IFERROR((M100-O100)/M100,0)</f>
        <v/>
      </c>
      <c r="Q100" s="16" t="n">
        <v>128.49</v>
      </c>
      <c r="R100" s="9" t="inlineStr">
        <is>
          <t>Direct</t>
        </is>
      </c>
      <c r="S100" s="9" t="inlineStr">
        <is>
          <t>Avery Kellen</t>
        </is>
      </c>
      <c r="T100" s="9" t="inlineStr">
        <is>
          <t>Open</t>
        </is>
      </c>
      <c r="U100" s="10" t="n">
        <v>109</v>
      </c>
      <c r="V100" s="9" t="inlineStr"/>
    </row>
    <row r="101">
      <c r="A101" s="7" t="inlineStr">
        <is>
          <t>AP-30728</t>
        </is>
      </c>
      <c r="B101" s="23" t="n">
        <v>46263</v>
      </c>
      <c r="C101" s="7">
        <f>TEXT(B101,"yyyy-mm")</f>
        <v/>
      </c>
      <c r="D101" s="7" t="inlineStr">
        <is>
          <t>NLG-027</t>
        </is>
      </c>
      <c r="E101" s="9" t="inlineStr">
        <is>
          <t>Northlight Group</t>
        </is>
      </c>
      <c r="F101" s="9" t="inlineStr">
        <is>
          <t>Central Florida</t>
        </is>
      </c>
      <c r="G101" s="9" t="inlineStr">
        <is>
          <t>Lakeland</t>
        </is>
      </c>
      <c r="H101" s="9" t="inlineStr">
        <is>
          <t>Meridian Pro</t>
        </is>
      </c>
      <c r="I101" s="10" t="n">
        <v>2</v>
      </c>
      <c r="J101" s="16" t="n">
        <v>7900</v>
      </c>
      <c r="K101" s="18" t="n">
        <v>0.15</v>
      </c>
      <c r="L101" s="16">
        <f>I101*J101</f>
        <v/>
      </c>
      <c r="M101" s="16">
        <f>ROUND(L101*(1-K101),2)</f>
        <v/>
      </c>
      <c r="N101" s="16" t="n">
        <v>4345</v>
      </c>
      <c r="O101" s="16">
        <f>I101*N101</f>
        <v/>
      </c>
      <c r="P101" s="18">
        <f>IFERROR((M101-O101)/M101,0)</f>
        <v/>
      </c>
      <c r="Q101" s="16" t="n">
        <v>94.76000000000001</v>
      </c>
      <c r="R101" s="9" t="inlineStr">
        <is>
          <t>Partner</t>
        </is>
      </c>
      <c r="S101" s="9" t="inlineStr">
        <is>
          <t>Morgan Reyes</t>
        </is>
      </c>
      <c r="T101" s="9" t="inlineStr">
        <is>
          <t>Shipped</t>
        </is>
      </c>
      <c r="U101" s="10" t="n">
        <v>110</v>
      </c>
      <c r="V101" s="9" t="inlineStr">
        <is>
          <t>Ship with calibration cert</t>
        </is>
      </c>
    </row>
    <row r="102">
      <c r="A102" s="7" t="inlineStr">
        <is>
          <t>AP-30739</t>
        </is>
      </c>
      <c r="B102" s="23" t="n">
        <v>46266</v>
      </c>
      <c r="C102" s="7">
        <f>TEXT(B102,"yyyy-mm")</f>
        <v/>
      </c>
      <c r="D102" s="7" t="inlineStr">
        <is>
          <t>NLG-014</t>
        </is>
      </c>
      <c r="E102" s="9" t="inlineStr">
        <is>
          <t>Northlight Group</t>
        </is>
      </c>
      <c r="F102" s="9" t="inlineStr">
        <is>
          <t>Gulf Coast</t>
        </is>
      </c>
      <c r="G102" s="9" t="inlineStr">
        <is>
          <t>St. Petersburg</t>
        </is>
      </c>
      <c r="H102" s="9" t="inlineStr">
        <is>
          <t>Atlas Care Plus</t>
        </is>
      </c>
      <c r="I102" s="10" t="n">
        <v>3</v>
      </c>
      <c r="J102" s="16" t="n">
        <v>1788</v>
      </c>
      <c r="K102" s="18" t="n">
        <v>0.1</v>
      </c>
      <c r="L102" s="16">
        <f>I102*J102</f>
        <v/>
      </c>
      <c r="M102" s="16">
        <f>ROUND(L102*(1-K102),2)</f>
        <v/>
      </c>
      <c r="N102" s="16" t="n">
        <v>447</v>
      </c>
      <c r="O102" s="16">
        <f>I102*N102</f>
        <v/>
      </c>
      <c r="P102" s="18">
        <f>IFERROR((M102-O102)/M102,0)</f>
        <v/>
      </c>
      <c r="Q102" s="16" t="n">
        <v>0</v>
      </c>
      <c r="R102" s="9" t="inlineStr">
        <is>
          <t>Partner</t>
        </is>
      </c>
      <c r="S102" s="9" t="inlineStr">
        <is>
          <t>Jordan Vale</t>
        </is>
      </c>
      <c r="T102" s="9" t="inlineStr">
        <is>
          <t>Invoiced</t>
        </is>
      </c>
      <c r="U102" s="10" t="n">
        <v>111</v>
      </c>
      <c r="V102" s="9" t="inlineStr"/>
    </row>
    <row r="103">
      <c r="A103" s="7" t="inlineStr">
        <is>
          <t>AP-30746</t>
        </is>
      </c>
      <c r="B103" s="23" t="n">
        <v>46228</v>
      </c>
      <c r="C103" s="7">
        <f>TEXT(B103,"yyyy-mm")</f>
        <v/>
      </c>
      <c r="D103" s="7" t="inlineStr">
        <is>
          <t>NLG-036</t>
        </is>
      </c>
      <c r="E103" s="9" t="inlineStr">
        <is>
          <t>Northlight Group</t>
        </is>
      </c>
      <c r="F103" s="9" t="inlineStr">
        <is>
          <t>Gulf Coast</t>
        </is>
      </c>
      <c r="G103" s="9" t="inlineStr">
        <is>
          <t>Clearwater</t>
        </is>
      </c>
      <c r="H103" s="9" t="inlineStr">
        <is>
          <t>Atlas Care Plus</t>
        </is>
      </c>
      <c r="I103" s="10" t="n">
        <v>5</v>
      </c>
      <c r="J103" s="16" t="n">
        <v>1788</v>
      </c>
      <c r="K103" s="18" t="n">
        <v>0</v>
      </c>
      <c r="L103" s="16">
        <f>I103*J103</f>
        <v/>
      </c>
      <c r="M103" s="16">
        <f>ROUND(L103*(1-K103),2)</f>
        <v/>
      </c>
      <c r="N103" s="16" t="n">
        <v>447</v>
      </c>
      <c r="O103" s="16">
        <f>I103*N103</f>
        <v/>
      </c>
      <c r="P103" s="18">
        <f>IFERROR((M103-O103)/M103,0)</f>
        <v/>
      </c>
      <c r="Q103" s="16" t="n">
        <v>0</v>
      </c>
      <c r="R103" s="9" t="inlineStr">
        <is>
          <t>Partner</t>
        </is>
      </c>
      <c r="S103" s="9" t="inlineStr">
        <is>
          <t>Avery Kellen</t>
        </is>
      </c>
      <c r="T103" s="9" t="inlineStr">
        <is>
          <t>Invoiced</t>
        </is>
      </c>
      <c r="U103" s="10" t="n">
        <v>112</v>
      </c>
      <c r="V103" s="9" t="inlineStr">
        <is>
          <t>Backorder cleared</t>
        </is>
      </c>
    </row>
    <row r="104">
      <c r="A104" s="7" t="inlineStr">
        <is>
          <t>AP-30752</t>
        </is>
      </c>
      <c r="B104" s="23" t="n">
        <v>46211</v>
      </c>
      <c r="C104" s="7">
        <f>TEXT(B104,"yyyy-mm")</f>
        <v/>
      </c>
      <c r="D104" s="7" t="inlineStr">
        <is>
          <t>NLG-027</t>
        </is>
      </c>
      <c r="E104" s="9" t="inlineStr">
        <is>
          <t>Northlight Group</t>
        </is>
      </c>
      <c r="F104" s="9" t="inlineStr">
        <is>
          <t>Central Florida</t>
        </is>
      </c>
      <c r="G104" s="9" t="inlineStr">
        <is>
          <t>Lakeland</t>
        </is>
      </c>
      <c r="H104" s="9" t="inlineStr">
        <is>
          <t>On-site training</t>
        </is>
      </c>
      <c r="I104" s="10" t="n">
        <v>2</v>
      </c>
      <c r="J104" s="16" t="n">
        <v>650</v>
      </c>
      <c r="K104" s="18" t="n">
        <v>0.05</v>
      </c>
      <c r="L104" s="16">
        <f>I104*J104</f>
        <v/>
      </c>
      <c r="M104" s="16">
        <f>ROUND(L104*(1-K104),2)</f>
        <v/>
      </c>
      <c r="N104" s="16" t="n">
        <v>429</v>
      </c>
      <c r="O104" s="16">
        <f>I104*N104</f>
        <v/>
      </c>
      <c r="P104" s="18">
        <f>IFERROR((M104-O104)/M104,0)</f>
        <v/>
      </c>
      <c r="Q104" s="16" t="n">
        <v>0</v>
      </c>
      <c r="R104" s="9" t="inlineStr">
        <is>
          <t>Partner</t>
        </is>
      </c>
      <c r="S104" s="9" t="inlineStr">
        <is>
          <t>Avery Kellen</t>
        </is>
      </c>
      <c r="T104" s="9" t="inlineStr">
        <is>
          <t>Invoiced</t>
        </is>
      </c>
      <c r="U104" s="10" t="n">
        <v>113</v>
      </c>
      <c r="V104" s="9" t="inlineStr">
        <is>
          <t>Rush requested</t>
        </is>
      </c>
    </row>
    <row r="105">
      <c r="A105" s="7" t="inlineStr">
        <is>
          <t>AP-30758</t>
        </is>
      </c>
      <c r="B105" s="23" t="n">
        <v>46272</v>
      </c>
      <c r="C105" s="7">
        <f>TEXT(B105,"yyyy-mm")</f>
        <v/>
      </c>
      <c r="D105" s="7" t="inlineStr">
        <is>
          <t>NLG-044</t>
        </is>
      </c>
      <c r="E105" s="9" t="inlineStr">
        <is>
          <t>Northlight Group</t>
        </is>
      </c>
      <c r="F105" s="9" t="inlineStr">
        <is>
          <t>Central Florida</t>
        </is>
      </c>
      <c r="G105" s="9" t="inlineStr">
        <is>
          <t>Brandon</t>
        </is>
      </c>
      <c r="H105" s="9" t="inlineStr">
        <is>
          <t>Meridian Pro</t>
        </is>
      </c>
      <c r="I105" s="10" t="n">
        <v>1</v>
      </c>
      <c r="J105" s="16" t="n">
        <v>7900</v>
      </c>
      <c r="K105" s="18" t="n">
        <v>0</v>
      </c>
      <c r="L105" s="16">
        <f>I105*J105</f>
        <v/>
      </c>
      <c r="M105" s="16">
        <f>ROUND(L105*(1-K105),2)</f>
        <v/>
      </c>
      <c r="N105" s="16" t="n">
        <v>4345</v>
      </c>
      <c r="O105" s="16">
        <f>I105*N105</f>
        <v/>
      </c>
      <c r="P105" s="18">
        <f>IFERROR((M105-O105)/M105,0)</f>
        <v/>
      </c>
      <c r="Q105" s="16" t="n">
        <v>98.84999999999999</v>
      </c>
      <c r="R105" s="9" t="inlineStr">
        <is>
          <t>Partner</t>
        </is>
      </c>
      <c r="S105" s="9" t="inlineStr">
        <is>
          <t>Sami Torres</t>
        </is>
      </c>
      <c r="T105" s="9" t="inlineStr">
        <is>
          <t>Invoiced</t>
        </is>
      </c>
      <c r="U105" s="10" t="n">
        <v>114</v>
      </c>
      <c r="V105" s="9" t="inlineStr">
        <is>
          <t>Ship with calibration cert</t>
        </is>
      </c>
    </row>
    <row r="106">
      <c r="A106" s="7" t="inlineStr">
        <is>
          <t>AP-30764</t>
        </is>
      </c>
      <c r="B106" s="23" t="n">
        <v>46285</v>
      </c>
      <c r="C106" s="7">
        <f>TEXT(B106,"yyyy-mm")</f>
        <v/>
      </c>
      <c r="D106" s="7" t="inlineStr">
        <is>
          <t>NLG-027</t>
        </is>
      </c>
      <c r="E106" s="9" t="inlineStr">
        <is>
          <t>Northlight Group</t>
        </is>
      </c>
      <c r="F106" s="9" t="inlineStr">
        <is>
          <t>Central Florida</t>
        </is>
      </c>
      <c r="G106" s="9" t="inlineStr">
        <is>
          <t>Lakeland</t>
        </is>
      </c>
      <c r="H106" s="9" t="inlineStr">
        <is>
          <t>Meridian Field Kit</t>
        </is>
      </c>
      <c r="I106" s="10" t="n">
        <v>3</v>
      </c>
      <c r="J106" s="16" t="n">
        <v>1240</v>
      </c>
      <c r="K106" s="18" t="n">
        <v>0.05</v>
      </c>
      <c r="L106" s="16">
        <f>I106*J106</f>
        <v/>
      </c>
      <c r="M106" s="16">
        <f>ROUND(L106*(1-K106),2)</f>
        <v/>
      </c>
      <c r="N106" s="16" t="n">
        <v>806</v>
      </c>
      <c r="O106" s="16">
        <f>I106*N106</f>
        <v/>
      </c>
      <c r="P106" s="18">
        <f>IFERROR((M106-O106)/M106,0)</f>
        <v/>
      </c>
      <c r="Q106" s="16" t="n">
        <v>170.69</v>
      </c>
      <c r="R106" s="9" t="inlineStr">
        <is>
          <t>Partner</t>
        </is>
      </c>
      <c r="S106" s="9" t="inlineStr">
        <is>
          <t>Sami Torres</t>
        </is>
      </c>
      <c r="T106" s="9" t="inlineStr">
        <is>
          <t>Shipped</t>
        </is>
      </c>
      <c r="U106" s="10" t="n">
        <v>115</v>
      </c>
      <c r="V106" s="9" t="inlineStr">
        <is>
          <t>Rush requested</t>
        </is>
      </c>
    </row>
    <row r="107">
      <c r="A107" s="7" t="inlineStr">
        <is>
          <t>AP-30770</t>
        </is>
      </c>
      <c r="B107" s="23" t="n">
        <v>46252</v>
      </c>
      <c r="C107" s="7">
        <f>TEXT(B107,"yyyy-mm")</f>
        <v/>
      </c>
      <c r="D107" s="7" t="inlineStr">
        <is>
          <t>NLG-022</t>
        </is>
      </c>
      <c r="E107" s="9" t="inlineStr">
        <is>
          <t>Northlight Group</t>
        </is>
      </c>
      <c r="F107" s="9" t="inlineStr">
        <is>
          <t>Central Florida</t>
        </is>
      </c>
      <c r="G107" s="9" t="inlineStr">
        <is>
          <t>Orlando</t>
        </is>
      </c>
      <c r="H107" s="9" t="inlineStr">
        <is>
          <t>Calibration service</t>
        </is>
      </c>
      <c r="I107" s="10" t="n">
        <v>3</v>
      </c>
      <c r="J107" s="16" t="n">
        <v>180</v>
      </c>
      <c r="K107" s="18" t="n">
        <v>0.05</v>
      </c>
      <c r="L107" s="16">
        <f>I107*J107</f>
        <v/>
      </c>
      <c r="M107" s="16">
        <f>ROUND(L107*(1-K107),2)</f>
        <v/>
      </c>
      <c r="N107" s="16" t="n">
        <v>99</v>
      </c>
      <c r="O107" s="16">
        <f>I107*N107</f>
        <v/>
      </c>
      <c r="P107" s="18">
        <f>IFERROR((M107-O107)/M107,0)</f>
        <v/>
      </c>
      <c r="Q107" s="16" t="n">
        <v>0</v>
      </c>
      <c r="R107" s="9" t="inlineStr">
        <is>
          <t>Partner</t>
        </is>
      </c>
      <c r="S107" s="9" t="inlineStr">
        <is>
          <t>Avery Kellen</t>
        </is>
      </c>
      <c r="T107" s="9" t="inlineStr">
        <is>
          <t>Shipped</t>
        </is>
      </c>
      <c r="U107" s="10" t="n">
        <v>116</v>
      </c>
      <c r="V107" s="9" t="inlineStr"/>
    </row>
    <row r="108">
      <c r="A108" s="7" t="inlineStr">
        <is>
          <t>AP-30781</t>
        </is>
      </c>
      <c r="B108" s="23" t="n">
        <v>46268</v>
      </c>
      <c r="C108" s="7">
        <f>TEXT(B108,"yyyy-mm")</f>
        <v/>
      </c>
      <c r="D108" s="7" t="inlineStr">
        <is>
          <t>NLG-031</t>
        </is>
      </c>
      <c r="E108" s="9" t="inlineStr">
        <is>
          <t>Northlight Group</t>
        </is>
      </c>
      <c r="F108" s="9" t="inlineStr">
        <is>
          <t>Gulf Coast</t>
        </is>
      </c>
      <c r="G108" s="9" t="inlineStr">
        <is>
          <t>Sarasota</t>
        </is>
      </c>
      <c r="H108" s="9" t="inlineStr">
        <is>
          <t>Meridian Field Kit</t>
        </is>
      </c>
      <c r="I108" s="10" t="n">
        <v>4</v>
      </c>
      <c r="J108" s="16" t="n">
        <v>1240</v>
      </c>
      <c r="K108" s="18" t="n">
        <v>0.05</v>
      </c>
      <c r="L108" s="16">
        <f>I108*J108</f>
        <v/>
      </c>
      <c r="M108" s="16">
        <f>ROUND(L108*(1-K108),2)</f>
        <v/>
      </c>
      <c r="N108" s="16" t="n">
        <v>806</v>
      </c>
      <c r="O108" s="16">
        <f>I108*N108</f>
        <v/>
      </c>
      <c r="P108" s="18">
        <f>IFERROR((M108-O108)/M108,0)</f>
        <v/>
      </c>
      <c r="Q108" s="16" t="n">
        <v>58.48</v>
      </c>
      <c r="R108" s="9" t="inlineStr">
        <is>
          <t>Partner</t>
        </is>
      </c>
      <c r="S108" s="9" t="inlineStr">
        <is>
          <t>Jordan Vale</t>
        </is>
      </c>
      <c r="T108" s="9" t="inlineStr">
        <is>
          <t>Open</t>
        </is>
      </c>
      <c r="U108" s="10" t="n">
        <v>117</v>
      </c>
      <c r="V108" s="9" t="inlineStr">
        <is>
          <t>PO on file</t>
        </is>
      </c>
    </row>
    <row r="109">
      <c r="A109" s="7" t="inlineStr">
        <is>
          <t>AP-30788</t>
        </is>
      </c>
      <c r="B109" s="23" t="n">
        <v>46272</v>
      </c>
      <c r="C109" s="7">
        <f>TEXT(B109,"yyyy-mm")</f>
        <v/>
      </c>
      <c r="D109" s="7" t="inlineStr">
        <is>
          <t>NLG-014</t>
        </is>
      </c>
      <c r="E109" s="9" t="inlineStr">
        <is>
          <t>Northlight Group</t>
        </is>
      </c>
      <c r="F109" s="9" t="inlineStr">
        <is>
          <t>Gulf Coast</t>
        </is>
      </c>
      <c r="G109" s="9" t="inlineStr">
        <is>
          <t>St. Petersburg</t>
        </is>
      </c>
      <c r="H109" s="9" t="inlineStr">
        <is>
          <t>Meridian Pro</t>
        </is>
      </c>
      <c r="I109" s="10" t="n">
        <v>2</v>
      </c>
      <c r="J109" s="16" t="n">
        <v>7900</v>
      </c>
      <c r="K109" s="18" t="n">
        <v>0.03</v>
      </c>
      <c r="L109" s="16">
        <f>I109*J109</f>
        <v/>
      </c>
      <c r="M109" s="16">
        <f>ROUND(L109*(1-K109),2)</f>
        <v/>
      </c>
      <c r="N109" s="16" t="n">
        <v>4345</v>
      </c>
      <c r="O109" s="16">
        <f>I109*N109</f>
        <v/>
      </c>
      <c r="P109" s="18">
        <f>IFERROR((M109-O109)/M109,0)</f>
        <v/>
      </c>
      <c r="Q109" s="16" t="n">
        <v>91.89</v>
      </c>
      <c r="R109" s="9" t="inlineStr">
        <is>
          <t>Partner</t>
        </is>
      </c>
      <c r="S109" s="9" t="inlineStr">
        <is>
          <t>Avery Kellen</t>
        </is>
      </c>
      <c r="T109" s="9" t="inlineStr">
        <is>
          <t>Shipped</t>
        </is>
      </c>
      <c r="U109" s="10" t="n">
        <v>118</v>
      </c>
      <c r="V109" s="9" t="inlineStr"/>
    </row>
    <row r="110">
      <c r="A110" s="7" t="inlineStr">
        <is>
          <t>AP-30795</t>
        </is>
      </c>
      <c r="B110" s="23" t="n">
        <v>46280</v>
      </c>
      <c r="C110" s="7">
        <f>TEXT(B110,"yyyy-mm")</f>
        <v/>
      </c>
      <c r="D110" s="7" t="inlineStr">
        <is>
          <t>NLG-014</t>
        </is>
      </c>
      <c r="E110" s="9" t="inlineStr">
        <is>
          <t>Northlight Group</t>
        </is>
      </c>
      <c r="F110" s="9" t="inlineStr">
        <is>
          <t>Gulf Coast</t>
        </is>
      </c>
      <c r="G110" s="9" t="inlineStr">
        <is>
          <t>St. Petersburg</t>
        </is>
      </c>
      <c r="H110" s="9" t="inlineStr">
        <is>
          <t>Meridian Bench</t>
        </is>
      </c>
      <c r="I110" s="10" t="n">
        <v>2</v>
      </c>
      <c r="J110" s="16" t="n">
        <v>4850</v>
      </c>
      <c r="K110" s="18" t="n">
        <v>0</v>
      </c>
      <c r="L110" s="16">
        <f>I110*J110</f>
        <v/>
      </c>
      <c r="M110" s="16">
        <f>ROUND(L110*(1-K110),2)</f>
        <v/>
      </c>
      <c r="N110" s="16" t="n">
        <v>2910</v>
      </c>
      <c r="O110" s="16">
        <f>I110*N110</f>
        <v/>
      </c>
      <c r="P110" s="18">
        <f>IFERROR((M110-O110)/M110,0)</f>
        <v/>
      </c>
      <c r="Q110" s="16" t="n">
        <v>127.03</v>
      </c>
      <c r="R110" s="9" t="inlineStr">
        <is>
          <t>Partner</t>
        </is>
      </c>
      <c r="S110" s="9" t="inlineStr">
        <is>
          <t>Morgan Reyes</t>
        </is>
      </c>
      <c r="T110" s="9" t="inlineStr">
        <is>
          <t>Shipped</t>
        </is>
      </c>
      <c r="U110" s="10" t="n">
        <v>119</v>
      </c>
      <c r="V110" s="9" t="inlineStr">
        <is>
          <t>PO on file</t>
        </is>
      </c>
    </row>
    <row r="111">
      <c r="A111" s="7" t="inlineStr">
        <is>
          <t>AP-30799</t>
        </is>
      </c>
      <c r="B111" s="23" t="n">
        <v>46211</v>
      </c>
      <c r="C111" s="7">
        <f>TEXT(B111,"yyyy-mm")</f>
        <v/>
      </c>
      <c r="D111" s="7" t="inlineStr">
        <is>
          <t>NLG-027</t>
        </is>
      </c>
      <c r="E111" s="9" t="inlineStr">
        <is>
          <t>Northlight Group</t>
        </is>
      </c>
      <c r="F111" s="9" t="inlineStr">
        <is>
          <t>Central Florida</t>
        </is>
      </c>
      <c r="G111" s="9" t="inlineStr">
        <is>
          <t>Lakeland</t>
        </is>
      </c>
      <c r="H111" s="9" t="inlineStr">
        <is>
          <t>Atlas Care Plus</t>
        </is>
      </c>
      <c r="I111" s="10" t="n">
        <v>2</v>
      </c>
      <c r="J111" s="16" t="n">
        <v>1788</v>
      </c>
      <c r="K111" s="18" t="n">
        <v>0</v>
      </c>
      <c r="L111" s="16">
        <f>I111*J111</f>
        <v/>
      </c>
      <c r="M111" s="16">
        <f>ROUND(L111*(1-K111),2)</f>
        <v/>
      </c>
      <c r="N111" s="16" t="n">
        <v>447</v>
      </c>
      <c r="O111" s="16">
        <f>I111*N111</f>
        <v/>
      </c>
      <c r="P111" s="18">
        <f>IFERROR((M111-O111)/M111,0)</f>
        <v/>
      </c>
      <c r="Q111" s="16" t="n">
        <v>0</v>
      </c>
      <c r="R111" s="9" t="inlineStr">
        <is>
          <t>Partner</t>
        </is>
      </c>
      <c r="S111" s="9" t="inlineStr">
        <is>
          <t>Morgan Reyes</t>
        </is>
      </c>
      <c r="T111" s="9" t="inlineStr">
        <is>
          <t>Shipped</t>
        </is>
      </c>
      <c r="U111" s="10" t="n">
        <v>120</v>
      </c>
      <c r="V111" s="9" t="inlineStr"/>
    </row>
    <row r="112">
      <c r="A112" s="7" t="inlineStr">
        <is>
          <t>AP-30808</t>
        </is>
      </c>
      <c r="B112" s="23" t="n">
        <v>46225</v>
      </c>
      <c r="C112" s="7">
        <f>TEXT(B112,"yyyy-mm")</f>
        <v/>
      </c>
      <c r="D112" s="7" t="inlineStr">
        <is>
          <t>NLG-014</t>
        </is>
      </c>
      <c r="E112" s="9" t="inlineStr">
        <is>
          <t>Northlight Group</t>
        </is>
      </c>
      <c r="F112" s="9" t="inlineStr">
        <is>
          <t>Gulf Coast</t>
        </is>
      </c>
      <c r="G112" s="9" t="inlineStr">
        <is>
          <t>St. Petersburg</t>
        </is>
      </c>
      <c r="H112" s="9" t="inlineStr">
        <is>
          <t>On-site training</t>
        </is>
      </c>
      <c r="I112" s="10" t="n">
        <v>2</v>
      </c>
      <c r="J112" s="16" t="n">
        <v>650</v>
      </c>
      <c r="K112" s="18" t="n">
        <v>0</v>
      </c>
      <c r="L112" s="16">
        <f>I112*J112</f>
        <v/>
      </c>
      <c r="M112" s="16">
        <f>ROUND(L112*(1-K112),2)</f>
        <v/>
      </c>
      <c r="N112" s="16" t="n">
        <v>429</v>
      </c>
      <c r="O112" s="16">
        <f>I112*N112</f>
        <v/>
      </c>
      <c r="P112" s="18">
        <f>IFERROR((M112-O112)/M112,0)</f>
        <v/>
      </c>
      <c r="Q112" s="16" t="n">
        <v>0</v>
      </c>
      <c r="R112" s="9" t="inlineStr">
        <is>
          <t>Partner</t>
        </is>
      </c>
      <c r="S112" s="9" t="inlineStr">
        <is>
          <t>Jordan Vale</t>
        </is>
      </c>
      <c r="T112" s="9" t="inlineStr">
        <is>
          <t>Invoiced</t>
        </is>
      </c>
      <c r="U112" s="10" t="n">
        <v>121</v>
      </c>
      <c r="V112" s="9" t="inlineStr"/>
    </row>
    <row r="113">
      <c r="A113" s="7" t="inlineStr">
        <is>
          <t>AP-30815</t>
        </is>
      </c>
      <c r="B113" s="23" t="n">
        <v>46212</v>
      </c>
      <c r="C113" s="7">
        <f>TEXT(B113,"yyyy-mm")</f>
        <v/>
      </c>
      <c r="D113" s="7" t="inlineStr">
        <is>
          <t>NLG-027</t>
        </is>
      </c>
      <c r="E113" s="9" t="inlineStr">
        <is>
          <t>Northlight Group</t>
        </is>
      </c>
      <c r="F113" s="9" t="inlineStr">
        <is>
          <t>Central Florida</t>
        </is>
      </c>
      <c r="G113" s="9" t="inlineStr">
        <is>
          <t>Lakeland</t>
        </is>
      </c>
      <c r="H113" s="9" t="inlineStr">
        <is>
          <t>Calibration service</t>
        </is>
      </c>
      <c r="I113" s="10" t="n">
        <v>6</v>
      </c>
      <c r="J113" s="16" t="n">
        <v>180</v>
      </c>
      <c r="K113" s="18" t="n">
        <v>0.05</v>
      </c>
      <c r="L113" s="16">
        <f>I113*J113</f>
        <v/>
      </c>
      <c r="M113" s="16">
        <f>ROUND(L113*(1-K113),2)</f>
        <v/>
      </c>
      <c r="N113" s="16" t="n">
        <v>99</v>
      </c>
      <c r="O113" s="16">
        <f>I113*N113</f>
        <v/>
      </c>
      <c r="P113" s="18">
        <f>IFERROR((M113-O113)/M113,0)</f>
        <v/>
      </c>
      <c r="Q113" s="16" t="n">
        <v>0</v>
      </c>
      <c r="R113" s="9" t="inlineStr">
        <is>
          <t>Partner</t>
        </is>
      </c>
      <c r="S113" s="9" t="inlineStr">
        <is>
          <t>Jordan Vale</t>
        </is>
      </c>
      <c r="T113" s="9" t="inlineStr">
        <is>
          <t>Shipped</t>
        </is>
      </c>
      <c r="U113" s="10" t="n">
        <v>122</v>
      </c>
      <c r="V113" s="9" t="inlineStr"/>
    </row>
    <row r="114">
      <c r="A114" s="7" t="inlineStr">
        <is>
          <t>AP-30822</t>
        </is>
      </c>
      <c r="B114" s="23" t="n">
        <v>46225</v>
      </c>
      <c r="C114" s="7">
        <f>TEXT(B114,"yyyy-mm")</f>
        <v/>
      </c>
      <c r="D114" s="7" t="inlineStr">
        <is>
          <t>NLG-036</t>
        </is>
      </c>
      <c r="E114" s="9" t="inlineStr">
        <is>
          <t>Northlight Group</t>
        </is>
      </c>
      <c r="F114" s="9" t="inlineStr">
        <is>
          <t>Gulf Coast</t>
        </is>
      </c>
      <c r="G114" s="9" t="inlineStr">
        <is>
          <t>Clearwater</t>
        </is>
      </c>
      <c r="H114" s="9" t="inlineStr">
        <is>
          <t>Atlas Care Plus</t>
        </is>
      </c>
      <c r="I114" s="10" t="n">
        <v>2</v>
      </c>
      <c r="J114" s="16" t="n">
        <v>1788</v>
      </c>
      <c r="K114" s="18" t="n">
        <v>0.03</v>
      </c>
      <c r="L114" s="16">
        <f>I114*J114</f>
        <v/>
      </c>
      <c r="M114" s="16">
        <f>ROUND(L114*(1-K114),2)</f>
        <v/>
      </c>
      <c r="N114" s="16" t="n">
        <v>447</v>
      </c>
      <c r="O114" s="16">
        <f>I114*N114</f>
        <v/>
      </c>
      <c r="P114" s="18">
        <f>IFERROR((M114-O114)/M114,0)</f>
        <v/>
      </c>
      <c r="Q114" s="16" t="n">
        <v>0</v>
      </c>
      <c r="R114" s="9" t="inlineStr">
        <is>
          <t>Partner</t>
        </is>
      </c>
      <c r="S114" s="9" t="inlineStr">
        <is>
          <t>Sami Torres</t>
        </is>
      </c>
      <c r="T114" s="9" t="inlineStr">
        <is>
          <t>Invoiced</t>
        </is>
      </c>
      <c r="U114" s="10" t="n">
        <v>123</v>
      </c>
      <c r="V114" s="9" t="inlineStr">
        <is>
          <t>Ship with calibration cert</t>
        </is>
      </c>
    </row>
    <row r="115">
      <c r="A115" s="7" t="inlineStr">
        <is>
          <t>AP-30828</t>
        </is>
      </c>
      <c r="B115" s="23" t="n">
        <v>46263</v>
      </c>
      <c r="C115" s="7">
        <f>TEXT(B115,"yyyy-mm")</f>
        <v/>
      </c>
      <c r="D115" s="7" t="inlineStr">
        <is>
          <t>NLG-014</t>
        </is>
      </c>
      <c r="E115" s="9" t="inlineStr">
        <is>
          <t>Northlight Group</t>
        </is>
      </c>
      <c r="F115" s="9" t="inlineStr">
        <is>
          <t>Gulf Coast</t>
        </is>
      </c>
      <c r="G115" s="9" t="inlineStr">
        <is>
          <t>St. Petersburg</t>
        </is>
      </c>
      <c r="H115" s="9" t="inlineStr">
        <is>
          <t>Meridian Field Kit</t>
        </is>
      </c>
      <c r="I115" s="10" t="n">
        <v>7</v>
      </c>
      <c r="J115" s="16" t="n">
        <v>1240</v>
      </c>
      <c r="K115" s="18" t="n">
        <v>0</v>
      </c>
      <c r="L115" s="16">
        <f>I115*J115</f>
        <v/>
      </c>
      <c r="M115" s="16">
        <f>ROUND(L115*(1-K115),2)</f>
        <v/>
      </c>
      <c r="N115" s="16" t="n">
        <v>806</v>
      </c>
      <c r="O115" s="16">
        <f>I115*N115</f>
        <v/>
      </c>
      <c r="P115" s="18">
        <f>IFERROR((M115-O115)/M115,0)</f>
        <v/>
      </c>
      <c r="Q115" s="16" t="n">
        <v>109.16</v>
      </c>
      <c r="R115" s="9" t="inlineStr">
        <is>
          <t>Partner</t>
        </is>
      </c>
      <c r="S115" s="9" t="inlineStr">
        <is>
          <t>Morgan Reyes</t>
        </is>
      </c>
      <c r="T115" s="9" t="inlineStr">
        <is>
          <t>Invoiced</t>
        </is>
      </c>
      <c r="U115" s="10" t="n">
        <v>124</v>
      </c>
      <c r="V115" s="9" t="inlineStr">
        <is>
          <t>Renewal</t>
        </is>
      </c>
    </row>
    <row r="116">
      <c r="A116" s="7" t="inlineStr">
        <is>
          <t>AP-30836</t>
        </is>
      </c>
      <c r="B116" s="23" t="n">
        <v>46248</v>
      </c>
      <c r="C116" s="7">
        <f>TEXT(B116,"yyyy-mm")</f>
        <v/>
      </c>
      <c r="D116" s="7" t="inlineStr">
        <is>
          <t>NLG-036</t>
        </is>
      </c>
      <c r="E116" s="9" t="inlineStr">
        <is>
          <t>Northlight Group</t>
        </is>
      </c>
      <c r="F116" s="9" t="inlineStr">
        <is>
          <t>Gulf Coast</t>
        </is>
      </c>
      <c r="G116" s="9" t="inlineStr">
        <is>
          <t>Clearwater</t>
        </is>
      </c>
      <c r="H116" s="9" t="inlineStr">
        <is>
          <t>Calibration service</t>
        </is>
      </c>
      <c r="I116" s="10" t="n">
        <v>6</v>
      </c>
      <c r="J116" s="16" t="n">
        <v>180</v>
      </c>
      <c r="K116" s="18" t="n">
        <v>0</v>
      </c>
      <c r="L116" s="16">
        <f>I116*J116</f>
        <v/>
      </c>
      <c r="M116" s="16">
        <f>ROUND(L116*(1-K116),2)</f>
        <v/>
      </c>
      <c r="N116" s="16" t="n">
        <v>99</v>
      </c>
      <c r="O116" s="16">
        <f>I116*N116</f>
        <v/>
      </c>
      <c r="P116" s="18">
        <f>IFERROR((M116-O116)/M116,0)</f>
        <v/>
      </c>
      <c r="Q116" s="16" t="n">
        <v>0</v>
      </c>
      <c r="R116" s="9" t="inlineStr">
        <is>
          <t>Partner</t>
        </is>
      </c>
      <c r="S116" s="9" t="inlineStr">
        <is>
          <t>Sami Torres</t>
        </is>
      </c>
      <c r="T116" s="9" t="inlineStr">
        <is>
          <t>Invoiced</t>
        </is>
      </c>
      <c r="U116" s="10" t="n">
        <v>125</v>
      </c>
      <c r="V116" s="9" t="inlineStr">
        <is>
          <t>Split shipment</t>
        </is>
      </c>
    </row>
    <row r="117">
      <c r="A117" s="7" t="inlineStr">
        <is>
          <t>AP-30843</t>
        </is>
      </c>
      <c r="B117" s="23" t="n">
        <v>46284</v>
      </c>
      <c r="C117" s="7">
        <f>TEXT(B117,"yyyy-mm")</f>
        <v/>
      </c>
      <c r="D117" s="7" t="inlineStr">
        <is>
          <t>NLG-031</t>
        </is>
      </c>
      <c r="E117" s="9" t="inlineStr">
        <is>
          <t>Northlight Group</t>
        </is>
      </c>
      <c r="F117" s="9" t="inlineStr">
        <is>
          <t>Gulf Coast</t>
        </is>
      </c>
      <c r="G117" s="9" t="inlineStr">
        <is>
          <t>Sarasota</t>
        </is>
      </c>
      <c r="H117" s="9" t="inlineStr">
        <is>
          <t>Meridian Field Kit</t>
        </is>
      </c>
      <c r="I117" s="10" t="n">
        <v>2</v>
      </c>
      <c r="J117" s="16" t="n">
        <v>1240</v>
      </c>
      <c r="K117" s="18" t="n">
        <v>0</v>
      </c>
      <c r="L117" s="16">
        <f>I117*J117</f>
        <v/>
      </c>
      <c r="M117" s="16">
        <f>ROUND(L117*(1-K117),2)</f>
        <v/>
      </c>
      <c r="N117" s="16" t="n">
        <v>806</v>
      </c>
      <c r="O117" s="16">
        <f>I117*N117</f>
        <v/>
      </c>
      <c r="P117" s="18">
        <f>IFERROR((M117-O117)/M117,0)</f>
        <v/>
      </c>
      <c r="Q117" s="16" t="n">
        <v>102.44</v>
      </c>
      <c r="R117" s="9" t="inlineStr">
        <is>
          <t>Partner</t>
        </is>
      </c>
      <c r="S117" s="9" t="inlineStr">
        <is>
          <t>Morgan Reyes</t>
        </is>
      </c>
      <c r="T117" s="9" t="inlineStr">
        <is>
          <t>Invoiced</t>
        </is>
      </c>
      <c r="U117" s="10" t="n">
        <v>126</v>
      </c>
      <c r="V117" s="9" t="inlineStr"/>
    </row>
    <row r="118">
      <c r="A118" s="7" t="inlineStr">
        <is>
          <t>AP-30847</t>
        </is>
      </c>
      <c r="B118" s="23" t="n">
        <v>46218</v>
      </c>
      <c r="C118" s="7">
        <f>TEXT(B118,"yyyy-mm")</f>
        <v/>
      </c>
      <c r="D118" s="7" t="inlineStr">
        <is>
          <t>NLG-031</t>
        </is>
      </c>
      <c r="E118" s="9" t="inlineStr">
        <is>
          <t>Northlight Group</t>
        </is>
      </c>
      <c r="F118" s="9" t="inlineStr">
        <is>
          <t>Gulf Coast</t>
        </is>
      </c>
      <c r="G118" s="9" t="inlineStr">
        <is>
          <t>Sarasota</t>
        </is>
      </c>
      <c r="H118" s="9" t="inlineStr">
        <is>
          <t>Meridian Field Kit</t>
        </is>
      </c>
      <c r="I118" s="10" t="n">
        <v>5</v>
      </c>
      <c r="J118" s="16" t="n">
        <v>1240</v>
      </c>
      <c r="K118" s="18" t="n">
        <v>0.05</v>
      </c>
      <c r="L118" s="16">
        <f>I118*J118</f>
        <v/>
      </c>
      <c r="M118" s="16">
        <f>ROUND(L118*(1-K118),2)</f>
        <v/>
      </c>
      <c r="N118" s="16" t="n">
        <v>806</v>
      </c>
      <c r="O118" s="16">
        <f>I118*N118</f>
        <v/>
      </c>
      <c r="P118" s="18">
        <f>IFERROR((M118-O118)/M118,0)</f>
        <v/>
      </c>
      <c r="Q118" s="16" t="n">
        <v>58.41</v>
      </c>
      <c r="R118" s="9" t="inlineStr">
        <is>
          <t>Partner</t>
        </is>
      </c>
      <c r="S118" s="9" t="inlineStr">
        <is>
          <t>Morgan Reyes</t>
        </is>
      </c>
      <c r="T118" s="9" t="inlineStr">
        <is>
          <t>Shipped</t>
        </is>
      </c>
      <c r="U118" s="10" t="n">
        <v>127</v>
      </c>
      <c r="V118" s="9" t="inlineStr">
        <is>
          <t>Split shipment</t>
        </is>
      </c>
    </row>
    <row r="119">
      <c r="A119" s="7" t="inlineStr">
        <is>
          <t>AP-30854</t>
        </is>
      </c>
      <c r="B119" s="23" t="n">
        <v>46248</v>
      </c>
      <c r="C119" s="7">
        <f>TEXT(B119,"yyyy-mm")</f>
        <v/>
      </c>
      <c r="D119" s="7" t="inlineStr">
        <is>
          <t>NLG-014</t>
        </is>
      </c>
      <c r="E119" s="9" t="inlineStr">
        <is>
          <t>Northlight Group</t>
        </is>
      </c>
      <c r="F119" s="9" t="inlineStr">
        <is>
          <t>Gulf Coast</t>
        </is>
      </c>
      <c r="G119" s="9" t="inlineStr">
        <is>
          <t>St. Petersburg</t>
        </is>
      </c>
      <c r="H119" s="9" t="inlineStr">
        <is>
          <t>Calibration service</t>
        </is>
      </c>
      <c r="I119" s="10" t="n">
        <v>2</v>
      </c>
      <c r="J119" s="16" t="n">
        <v>180</v>
      </c>
      <c r="K119" s="18" t="n">
        <v>0</v>
      </c>
      <c r="L119" s="16">
        <f>I119*J119</f>
        <v/>
      </c>
      <c r="M119" s="16">
        <f>ROUND(L119*(1-K119),2)</f>
        <v/>
      </c>
      <c r="N119" s="16" t="n">
        <v>99</v>
      </c>
      <c r="O119" s="16">
        <f>I119*N119</f>
        <v/>
      </c>
      <c r="P119" s="18">
        <f>IFERROR((M119-O119)/M119,0)</f>
        <v/>
      </c>
      <c r="Q119" s="16" t="n">
        <v>0</v>
      </c>
      <c r="R119" s="9" t="inlineStr">
        <is>
          <t>Partner</t>
        </is>
      </c>
      <c r="S119" s="9" t="inlineStr">
        <is>
          <t>Jordan Vale</t>
        </is>
      </c>
      <c r="T119" s="9" t="inlineStr">
        <is>
          <t>Shipped</t>
        </is>
      </c>
      <c r="U119" s="10" t="n">
        <v>128</v>
      </c>
      <c r="V119" s="9" t="inlineStr"/>
    </row>
    <row r="120">
      <c r="A120" s="7" t="inlineStr">
        <is>
          <t>AP-30863</t>
        </is>
      </c>
      <c r="B120" s="23" t="n">
        <v>46232</v>
      </c>
      <c r="C120" s="7">
        <f>TEXT(B120,"yyyy-mm")</f>
        <v/>
      </c>
      <c r="D120" s="7" t="inlineStr">
        <is>
          <t>NLG-014</t>
        </is>
      </c>
      <c r="E120" s="9" t="inlineStr">
        <is>
          <t>Northlight Group</t>
        </is>
      </c>
      <c r="F120" s="9" t="inlineStr">
        <is>
          <t>Gulf Coast</t>
        </is>
      </c>
      <c r="G120" s="9" t="inlineStr">
        <is>
          <t>St. Petersburg</t>
        </is>
      </c>
      <c r="H120" s="9" t="inlineStr">
        <is>
          <t>Meridian Pro</t>
        </is>
      </c>
      <c r="I120" s="10" t="n">
        <v>2</v>
      </c>
      <c r="J120" s="16" t="n">
        <v>7900</v>
      </c>
      <c r="K120" s="18" t="n">
        <v>0.12</v>
      </c>
      <c r="L120" s="16">
        <f>I120*J120</f>
        <v/>
      </c>
      <c r="M120" s="16">
        <f>ROUND(L120*(1-K120),2)</f>
        <v/>
      </c>
      <c r="N120" s="16" t="n">
        <v>4345</v>
      </c>
      <c r="O120" s="16">
        <f>I120*N120</f>
        <v/>
      </c>
      <c r="P120" s="18">
        <f>IFERROR((M120-O120)/M120,0)</f>
        <v/>
      </c>
      <c r="Q120" s="16" t="n">
        <v>117.37</v>
      </c>
      <c r="R120" s="9" t="inlineStr">
        <is>
          <t>Partner</t>
        </is>
      </c>
      <c r="S120" s="9" t="inlineStr">
        <is>
          <t>Jordan Vale</t>
        </is>
      </c>
      <c r="T120" s="9" t="inlineStr">
        <is>
          <t>Invoiced</t>
        </is>
      </c>
      <c r="U120" s="10" t="n">
        <v>129</v>
      </c>
      <c r="V120" s="9" t="inlineStr">
        <is>
          <t>Rush requested</t>
        </is>
      </c>
    </row>
    <row r="121">
      <c r="A121" s="7" t="inlineStr">
        <is>
          <t>AP-30869</t>
        </is>
      </c>
      <c r="B121" s="23" t="n">
        <v>46242</v>
      </c>
      <c r="C121" s="7">
        <f>TEXT(B121,"yyyy-mm")</f>
        <v/>
      </c>
      <c r="D121" s="7" t="inlineStr">
        <is>
          <t>NLG-036</t>
        </is>
      </c>
      <c r="E121" s="9" t="inlineStr">
        <is>
          <t>Northlight Group</t>
        </is>
      </c>
      <c r="F121" s="9" t="inlineStr">
        <is>
          <t>Gulf Coast</t>
        </is>
      </c>
      <c r="G121" s="9" t="inlineStr">
        <is>
          <t>Clearwater</t>
        </is>
      </c>
      <c r="H121" s="9" t="inlineStr">
        <is>
          <t>On-site training</t>
        </is>
      </c>
      <c r="I121" s="10" t="n">
        <v>3</v>
      </c>
      <c r="J121" s="16" t="n">
        <v>650</v>
      </c>
      <c r="K121" s="18" t="n">
        <v>0.05</v>
      </c>
      <c r="L121" s="16">
        <f>I121*J121</f>
        <v/>
      </c>
      <c r="M121" s="16">
        <f>ROUND(L121*(1-K121),2)</f>
        <v/>
      </c>
      <c r="N121" s="16" t="n">
        <v>429</v>
      </c>
      <c r="O121" s="16">
        <f>I121*N121</f>
        <v/>
      </c>
      <c r="P121" s="18">
        <f>IFERROR((M121-O121)/M121,0)</f>
        <v/>
      </c>
      <c r="Q121" s="16" t="n">
        <v>0</v>
      </c>
      <c r="R121" s="9" t="inlineStr">
        <is>
          <t>Partner</t>
        </is>
      </c>
      <c r="S121" s="9" t="inlineStr">
        <is>
          <t>Morgan Reyes</t>
        </is>
      </c>
      <c r="T121" s="9" t="inlineStr">
        <is>
          <t>Open</t>
        </is>
      </c>
      <c r="U121" s="10" t="n">
        <v>130</v>
      </c>
      <c r="V121" s="9" t="inlineStr">
        <is>
          <t>Backorder cleared</t>
        </is>
      </c>
    </row>
    <row r="122">
      <c r="A122" s="7" t="inlineStr">
        <is>
          <t>AP-30877</t>
        </is>
      </c>
      <c r="B122" s="23" t="n">
        <v>46228</v>
      </c>
      <c r="C122" s="7">
        <f>TEXT(B122,"yyyy-mm")</f>
        <v/>
      </c>
      <c r="D122" s="7" t="inlineStr">
        <is>
          <t>DIR-000</t>
        </is>
      </c>
      <c r="E122" s="9" t="inlineStr">
        <is>
          <t>Apex Instruments direct</t>
        </is>
      </c>
      <c r="F122" s="9" t="inlineStr">
        <is>
          <t>House</t>
        </is>
      </c>
      <c r="G122" s="9" t="inlineStr">
        <is>
          <t>Tampa</t>
        </is>
      </c>
      <c r="H122" s="9" t="inlineStr">
        <is>
          <t>Calibration service</t>
        </is>
      </c>
      <c r="I122" s="10" t="n">
        <v>3</v>
      </c>
      <c r="J122" s="16" t="n">
        <v>180</v>
      </c>
      <c r="K122" s="18" t="n">
        <v>0.05</v>
      </c>
      <c r="L122" s="16">
        <f>I122*J122</f>
        <v/>
      </c>
      <c r="M122" s="16">
        <f>ROUND(L122*(1-K122),2)</f>
        <v/>
      </c>
      <c r="N122" s="16" t="n">
        <v>99</v>
      </c>
      <c r="O122" s="16">
        <f>I122*N122</f>
        <v/>
      </c>
      <c r="P122" s="18">
        <f>IFERROR((M122-O122)/M122,0)</f>
        <v/>
      </c>
      <c r="Q122" s="16" t="n">
        <v>0</v>
      </c>
      <c r="R122" s="9" t="inlineStr">
        <is>
          <t>Direct</t>
        </is>
      </c>
      <c r="S122" s="9" t="inlineStr">
        <is>
          <t>Sami Torres</t>
        </is>
      </c>
      <c r="T122" s="9" t="inlineStr">
        <is>
          <t>Shipped</t>
        </is>
      </c>
      <c r="U122" s="10" t="n">
        <v>131</v>
      </c>
      <c r="V122" s="9" t="inlineStr"/>
    </row>
    <row r="123">
      <c r="A123" s="7" t="inlineStr">
        <is>
          <t>AP-30883</t>
        </is>
      </c>
      <c r="B123" s="23" t="n">
        <v>46208</v>
      </c>
      <c r="C123" s="7">
        <f>TEXT(B123,"yyyy-mm")</f>
        <v/>
      </c>
      <c r="D123" s="7" t="inlineStr">
        <is>
          <t>NLG-011</t>
        </is>
      </c>
      <c r="E123" s="9" t="inlineStr">
        <is>
          <t>Northlight Group</t>
        </is>
      </c>
      <c r="F123" s="9" t="inlineStr">
        <is>
          <t>Gulf Coast</t>
        </is>
      </c>
      <c r="G123" s="9" t="inlineStr">
        <is>
          <t>Tampa</t>
        </is>
      </c>
      <c r="H123" s="9" t="inlineStr">
        <is>
          <t>Calibration service</t>
        </is>
      </c>
      <c r="I123" s="10" t="n">
        <v>6</v>
      </c>
      <c r="J123" s="16" t="n">
        <v>180</v>
      </c>
      <c r="K123" s="18" t="n">
        <v>0.03</v>
      </c>
      <c r="L123" s="16">
        <f>I123*J123</f>
        <v/>
      </c>
      <c r="M123" s="16">
        <f>ROUND(L123*(1-K123),2)</f>
        <v/>
      </c>
      <c r="N123" s="16" t="n">
        <v>99</v>
      </c>
      <c r="O123" s="16">
        <f>I123*N123</f>
        <v/>
      </c>
      <c r="P123" s="18">
        <f>IFERROR((M123-O123)/M123,0)</f>
        <v/>
      </c>
      <c r="Q123" s="16" t="n">
        <v>0</v>
      </c>
      <c r="R123" s="9" t="inlineStr">
        <is>
          <t>Partner</t>
        </is>
      </c>
      <c r="S123" s="9" t="inlineStr">
        <is>
          <t>Jordan Vale</t>
        </is>
      </c>
      <c r="T123" s="9" t="inlineStr">
        <is>
          <t>Shipped</t>
        </is>
      </c>
      <c r="U123" s="10" t="n">
        <v>132</v>
      </c>
      <c r="V123" s="9" t="inlineStr"/>
    </row>
    <row r="124">
      <c r="A124" s="7" t="inlineStr">
        <is>
          <t>AP-30892</t>
        </is>
      </c>
      <c r="B124" s="23" t="n">
        <v>46238</v>
      </c>
      <c r="C124" s="7">
        <f>TEXT(B124,"yyyy-mm")</f>
        <v/>
      </c>
      <c r="D124" s="7" t="inlineStr">
        <is>
          <t>NLG-022</t>
        </is>
      </c>
      <c r="E124" s="9" t="inlineStr">
        <is>
          <t>Northlight Group</t>
        </is>
      </c>
      <c r="F124" s="9" t="inlineStr">
        <is>
          <t>Central Florida</t>
        </is>
      </c>
      <c r="G124" s="9" t="inlineStr">
        <is>
          <t>Orlando</t>
        </is>
      </c>
      <c r="H124" s="9" t="inlineStr">
        <is>
          <t>Calibration service</t>
        </is>
      </c>
      <c r="I124" s="10" t="n">
        <v>5</v>
      </c>
      <c r="J124" s="16" t="n">
        <v>180</v>
      </c>
      <c r="K124" s="18" t="n">
        <v>0</v>
      </c>
      <c r="L124" s="16">
        <f>I124*J124</f>
        <v/>
      </c>
      <c r="M124" s="16">
        <f>ROUND(L124*(1-K124),2)</f>
        <v/>
      </c>
      <c r="N124" s="16" t="n">
        <v>99</v>
      </c>
      <c r="O124" s="16">
        <f>I124*N124</f>
        <v/>
      </c>
      <c r="P124" s="18">
        <f>IFERROR((M124-O124)/M124,0)</f>
        <v/>
      </c>
      <c r="Q124" s="16" t="n">
        <v>0</v>
      </c>
      <c r="R124" s="9" t="inlineStr">
        <is>
          <t>Partner</t>
        </is>
      </c>
      <c r="S124" s="9" t="inlineStr">
        <is>
          <t>Sami Torres</t>
        </is>
      </c>
      <c r="T124" s="9" t="inlineStr">
        <is>
          <t>Open</t>
        </is>
      </c>
      <c r="U124" s="10" t="n">
        <v>133</v>
      </c>
      <c r="V124" s="9" t="inlineStr"/>
    </row>
    <row r="125">
      <c r="A125" s="7" t="inlineStr">
        <is>
          <t>AP-30897</t>
        </is>
      </c>
      <c r="B125" s="23" t="n">
        <v>46263</v>
      </c>
      <c r="C125" s="7">
        <f>TEXT(B125,"yyyy-mm")</f>
        <v/>
      </c>
      <c r="D125" s="7" t="inlineStr">
        <is>
          <t>NLG-022</t>
        </is>
      </c>
      <c r="E125" s="9" t="inlineStr">
        <is>
          <t>Northlight Group</t>
        </is>
      </c>
      <c r="F125" s="9" t="inlineStr">
        <is>
          <t>Central Florida</t>
        </is>
      </c>
      <c r="G125" s="9" t="inlineStr">
        <is>
          <t>Orlando</t>
        </is>
      </c>
      <c r="H125" s="9" t="inlineStr">
        <is>
          <t>Meridian Bench</t>
        </is>
      </c>
      <c r="I125" s="10" t="n">
        <v>1</v>
      </c>
      <c r="J125" s="16" t="n">
        <v>4850</v>
      </c>
      <c r="K125" s="18" t="n">
        <v>0.05</v>
      </c>
      <c r="L125" s="16">
        <f>I125*J125</f>
        <v/>
      </c>
      <c r="M125" s="16">
        <f>ROUND(L125*(1-K125),2)</f>
        <v/>
      </c>
      <c r="N125" s="16" t="n">
        <v>2910</v>
      </c>
      <c r="O125" s="16">
        <f>I125*N125</f>
        <v/>
      </c>
      <c r="P125" s="18">
        <f>IFERROR((M125-O125)/M125,0)</f>
        <v/>
      </c>
      <c r="Q125" s="16" t="n">
        <v>86.36</v>
      </c>
      <c r="R125" s="9" t="inlineStr">
        <is>
          <t>Partner</t>
        </is>
      </c>
      <c r="S125" s="9" t="inlineStr">
        <is>
          <t>Sami Torres</t>
        </is>
      </c>
      <c r="T125" s="9" t="inlineStr">
        <is>
          <t>Invoiced</t>
        </is>
      </c>
      <c r="U125" s="10" t="n">
        <v>134</v>
      </c>
      <c r="V125" s="9" t="inlineStr"/>
    </row>
    <row r="126">
      <c r="A126" s="7" t="inlineStr">
        <is>
          <t>AP-30912</t>
        </is>
      </c>
      <c r="B126" s="23" t="n">
        <v>46233</v>
      </c>
      <c r="C126" s="7">
        <f>TEXT(B126,"yyyy-mm")</f>
        <v/>
      </c>
      <c r="D126" s="7" t="inlineStr">
        <is>
          <t>NLG-014</t>
        </is>
      </c>
      <c r="E126" s="9" t="inlineStr">
        <is>
          <t>Northlight Group</t>
        </is>
      </c>
      <c r="F126" s="9" t="inlineStr">
        <is>
          <t>Gulf Coast</t>
        </is>
      </c>
      <c r="G126" s="9" t="inlineStr">
        <is>
          <t>St. Petersburg</t>
        </is>
      </c>
      <c r="H126" s="9" t="inlineStr">
        <is>
          <t>Meridian Pro</t>
        </is>
      </c>
      <c r="I126" s="10" t="n">
        <v>1</v>
      </c>
      <c r="J126" s="16" t="n">
        <v>7900</v>
      </c>
      <c r="K126" s="18" t="n">
        <v>0.05</v>
      </c>
      <c r="L126" s="16">
        <f>I126*J126</f>
        <v/>
      </c>
      <c r="M126" s="16">
        <f>ROUND(L126*(1-K126),2)</f>
        <v/>
      </c>
      <c r="N126" s="16" t="n">
        <v>4345</v>
      </c>
      <c r="O126" s="16">
        <f>I126*N126</f>
        <v/>
      </c>
      <c r="P126" s="18">
        <f>IFERROR((M126-O126)/M126,0)</f>
        <v/>
      </c>
      <c r="Q126" s="16" t="n">
        <v>50.76</v>
      </c>
      <c r="R126" s="9" t="inlineStr">
        <is>
          <t>Partner</t>
        </is>
      </c>
      <c r="S126" s="9" t="inlineStr">
        <is>
          <t>Jordan Vale</t>
        </is>
      </c>
      <c r="T126" s="9" t="inlineStr">
        <is>
          <t>Shipped</t>
        </is>
      </c>
      <c r="U126" s="10" t="n">
        <v>136</v>
      </c>
      <c r="V126" s="9" t="inlineStr">
        <is>
          <t>Backorder cleared</t>
        </is>
      </c>
    </row>
    <row r="127">
      <c r="A127" s="7" t="inlineStr">
        <is>
          <t>AP-30918</t>
        </is>
      </c>
      <c r="B127" s="23" t="n">
        <v>46260</v>
      </c>
      <c r="C127" s="7">
        <f>TEXT(B127,"yyyy-mm")</f>
        <v/>
      </c>
      <c r="D127" s="7" t="inlineStr">
        <is>
          <t>NLG-036</t>
        </is>
      </c>
      <c r="E127" s="9" t="inlineStr">
        <is>
          <t>Northlight Group</t>
        </is>
      </c>
      <c r="F127" s="9" t="inlineStr">
        <is>
          <t>Gulf Coast</t>
        </is>
      </c>
      <c r="G127" s="9" t="inlineStr">
        <is>
          <t>Clearwater</t>
        </is>
      </c>
      <c r="H127" s="9" t="inlineStr">
        <is>
          <t>On-site training</t>
        </is>
      </c>
      <c r="I127" s="10" t="n">
        <v>3</v>
      </c>
      <c r="J127" s="16" t="n">
        <v>650</v>
      </c>
      <c r="K127" s="18" t="n">
        <v>0.1</v>
      </c>
      <c r="L127" s="16">
        <f>I127*J127</f>
        <v/>
      </c>
      <c r="M127" s="16">
        <f>ROUND(L127*(1-K127),2)</f>
        <v/>
      </c>
      <c r="N127" s="16" t="n">
        <v>429</v>
      </c>
      <c r="O127" s="16">
        <f>I127*N127</f>
        <v/>
      </c>
      <c r="P127" s="18">
        <f>IFERROR((M127-O127)/M127,0)</f>
        <v/>
      </c>
      <c r="Q127" s="16" t="n">
        <v>0</v>
      </c>
      <c r="R127" s="9" t="inlineStr">
        <is>
          <t>Partner</t>
        </is>
      </c>
      <c r="S127" s="9" t="inlineStr">
        <is>
          <t>Morgan Reyes</t>
        </is>
      </c>
      <c r="T127" s="9" t="inlineStr">
        <is>
          <t>Shipped</t>
        </is>
      </c>
      <c r="U127" s="10" t="n">
        <v>137</v>
      </c>
      <c r="V127" s="9" t="inlineStr"/>
    </row>
    <row r="128">
      <c r="A128" s="7" t="inlineStr">
        <is>
          <t>AP-30924</t>
        </is>
      </c>
      <c r="B128" s="23" t="n">
        <v>46209</v>
      </c>
      <c r="C128" s="7">
        <f>TEXT(B128,"yyyy-mm")</f>
        <v/>
      </c>
      <c r="D128" s="7" t="inlineStr">
        <is>
          <t>NLG-044</t>
        </is>
      </c>
      <c r="E128" s="9" t="inlineStr">
        <is>
          <t>Northlight Group</t>
        </is>
      </c>
      <c r="F128" s="9" t="inlineStr">
        <is>
          <t>Central Florida</t>
        </is>
      </c>
      <c r="G128" s="9" t="inlineStr">
        <is>
          <t>Brandon</t>
        </is>
      </c>
      <c r="H128" s="9" t="inlineStr">
        <is>
          <t>On-site training</t>
        </is>
      </c>
      <c r="I128" s="10" t="n">
        <v>2</v>
      </c>
      <c r="J128" s="16" t="n">
        <v>650</v>
      </c>
      <c r="K128" s="18" t="n">
        <v>0.05</v>
      </c>
      <c r="L128" s="16">
        <f>I128*J128</f>
        <v/>
      </c>
      <c r="M128" s="16">
        <f>ROUND(L128*(1-K128),2)</f>
        <v/>
      </c>
      <c r="N128" s="16" t="n">
        <v>429</v>
      </c>
      <c r="O128" s="16">
        <f>I128*N128</f>
        <v/>
      </c>
      <c r="P128" s="18">
        <f>IFERROR((M128-O128)/M128,0)</f>
        <v/>
      </c>
      <c r="Q128" s="16" t="n">
        <v>0</v>
      </c>
      <c r="R128" s="9" t="inlineStr">
        <is>
          <t>Partner</t>
        </is>
      </c>
      <c r="S128" s="9" t="inlineStr">
        <is>
          <t>Sami Torres</t>
        </is>
      </c>
      <c r="T128" s="9" t="inlineStr">
        <is>
          <t>Invoiced</t>
        </is>
      </c>
      <c r="U128" s="10" t="n">
        <v>138</v>
      </c>
      <c r="V128" s="9" t="inlineStr">
        <is>
          <t>Partner pickup</t>
        </is>
      </c>
    </row>
    <row r="129">
      <c r="A129" s="7" t="inlineStr">
        <is>
          <t>AP-30934</t>
        </is>
      </c>
      <c r="B129" s="23" t="n">
        <v>46281</v>
      </c>
      <c r="C129" s="7">
        <f>TEXT(B129,"yyyy-mm")</f>
        <v/>
      </c>
      <c r="D129" s="7" t="inlineStr">
        <is>
          <t>NLG-014</t>
        </is>
      </c>
      <c r="E129" s="9" t="inlineStr">
        <is>
          <t>Northlight Group</t>
        </is>
      </c>
      <c r="F129" s="9" t="inlineStr">
        <is>
          <t>Gulf Coast</t>
        </is>
      </c>
      <c r="G129" s="9" t="inlineStr">
        <is>
          <t>St. Petersburg</t>
        </is>
      </c>
      <c r="H129" s="9" t="inlineStr">
        <is>
          <t>Atlas Care Plus</t>
        </is>
      </c>
      <c r="I129" s="10" t="n">
        <v>1</v>
      </c>
      <c r="J129" s="16" t="n">
        <v>1788</v>
      </c>
      <c r="K129" s="18" t="n">
        <v>0.05</v>
      </c>
      <c r="L129" s="16">
        <f>I129*J129</f>
        <v/>
      </c>
      <c r="M129" s="16">
        <f>ROUND(L129*(1-K129),2)</f>
        <v/>
      </c>
      <c r="N129" s="16" t="n">
        <v>447</v>
      </c>
      <c r="O129" s="16">
        <f>I129*N129</f>
        <v/>
      </c>
      <c r="P129" s="18">
        <f>IFERROR((M129-O129)/M129,0)</f>
        <v/>
      </c>
      <c r="Q129" s="16" t="n">
        <v>0</v>
      </c>
      <c r="R129" s="9" t="inlineStr">
        <is>
          <t>Partner</t>
        </is>
      </c>
      <c r="S129" s="9" t="inlineStr">
        <is>
          <t>Avery Kellen</t>
        </is>
      </c>
      <c r="T129" s="9" t="inlineStr">
        <is>
          <t>Shipped</t>
        </is>
      </c>
      <c r="U129" s="10" t="n">
        <v>139</v>
      </c>
      <c r="V129" s="9" t="inlineStr">
        <is>
          <t>Ship with calibration cert</t>
        </is>
      </c>
    </row>
    <row r="130">
      <c r="A130" s="7" t="inlineStr">
        <is>
          <t>AP-30939</t>
        </is>
      </c>
      <c r="B130" s="23" t="n">
        <v>46242</v>
      </c>
      <c r="C130" s="7">
        <f>TEXT(B130,"yyyy-mm")</f>
        <v/>
      </c>
      <c r="D130" s="7" t="inlineStr">
        <is>
          <t>DIR-000</t>
        </is>
      </c>
      <c r="E130" s="9" t="inlineStr">
        <is>
          <t>Apex Instruments direct</t>
        </is>
      </c>
      <c r="F130" s="9" t="inlineStr">
        <is>
          <t>House</t>
        </is>
      </c>
      <c r="G130" s="9" t="inlineStr">
        <is>
          <t>Tampa</t>
        </is>
      </c>
      <c r="H130" s="9" t="inlineStr">
        <is>
          <t>On-site training</t>
        </is>
      </c>
      <c r="I130" s="10" t="n">
        <v>3</v>
      </c>
      <c r="J130" s="16" t="n">
        <v>650</v>
      </c>
      <c r="K130" s="18" t="n">
        <v>0</v>
      </c>
      <c r="L130" s="16">
        <f>I130*J130</f>
        <v/>
      </c>
      <c r="M130" s="16">
        <f>ROUND(L130*(1-K130),2)</f>
        <v/>
      </c>
      <c r="N130" s="16" t="n">
        <v>429</v>
      </c>
      <c r="O130" s="16">
        <f>I130*N130</f>
        <v/>
      </c>
      <c r="P130" s="18">
        <f>IFERROR((M130-O130)/M130,0)</f>
        <v/>
      </c>
      <c r="Q130" s="16" t="n">
        <v>0</v>
      </c>
      <c r="R130" s="9" t="inlineStr">
        <is>
          <t>Direct</t>
        </is>
      </c>
      <c r="S130" s="9" t="inlineStr">
        <is>
          <t>Sami Torres</t>
        </is>
      </c>
      <c r="T130" s="9" t="inlineStr">
        <is>
          <t>Invoiced</t>
        </is>
      </c>
      <c r="U130" s="10" t="n">
        <v>140</v>
      </c>
      <c r="V130" s="9" t="inlineStr"/>
    </row>
    <row r="131">
      <c r="A131" s="7" t="inlineStr">
        <is>
          <t>AP-30946</t>
        </is>
      </c>
      <c r="B131" s="23" t="n">
        <v>46279</v>
      </c>
      <c r="C131" s="7">
        <f>TEXT(B131,"yyyy-mm")</f>
        <v/>
      </c>
      <c r="D131" s="7" t="inlineStr">
        <is>
          <t>NLG-031</t>
        </is>
      </c>
      <c r="E131" s="9" t="inlineStr">
        <is>
          <t>Northlight Group</t>
        </is>
      </c>
      <c r="F131" s="9" t="inlineStr">
        <is>
          <t>Gulf Coast</t>
        </is>
      </c>
      <c r="G131" s="9" t="inlineStr">
        <is>
          <t>Sarasota</t>
        </is>
      </c>
      <c r="H131" s="9" t="inlineStr">
        <is>
          <t>Atlas Care Plus</t>
        </is>
      </c>
      <c r="I131" s="10" t="n">
        <v>10</v>
      </c>
      <c r="J131" s="16" t="n">
        <v>1788</v>
      </c>
      <c r="K131" s="18" t="n">
        <v>0</v>
      </c>
      <c r="L131" s="16">
        <f>I131*J131</f>
        <v/>
      </c>
      <c r="M131" s="16">
        <f>ROUND(L131*(1-K131),2)</f>
        <v/>
      </c>
      <c r="N131" s="16" t="n">
        <v>447</v>
      </c>
      <c r="O131" s="16">
        <f>I131*N131</f>
        <v/>
      </c>
      <c r="P131" s="18">
        <f>IFERROR((M131-O131)/M131,0)</f>
        <v/>
      </c>
      <c r="Q131" s="16" t="n">
        <v>0</v>
      </c>
      <c r="R131" s="9" t="inlineStr">
        <is>
          <t>Partner</t>
        </is>
      </c>
      <c r="S131" s="9" t="inlineStr">
        <is>
          <t>Morgan Reyes</t>
        </is>
      </c>
      <c r="T131" s="9" t="inlineStr">
        <is>
          <t>Invoiced</t>
        </is>
      </c>
      <c r="U131" s="10" t="n">
        <v>141</v>
      </c>
      <c r="V131" s="9" t="inlineStr"/>
    </row>
    <row r="132">
      <c r="A132" s="7" t="inlineStr">
        <is>
          <t>AP-30954</t>
        </is>
      </c>
      <c r="B132" s="23" t="n">
        <v>46242</v>
      </c>
      <c r="C132" s="7">
        <f>TEXT(B132,"yyyy-mm")</f>
        <v/>
      </c>
      <c r="D132" s="7" t="inlineStr">
        <is>
          <t>NLG-011</t>
        </is>
      </c>
      <c r="E132" s="9" t="inlineStr">
        <is>
          <t>Northlight Group</t>
        </is>
      </c>
      <c r="F132" s="9" t="inlineStr">
        <is>
          <t>Gulf Coast</t>
        </is>
      </c>
      <c r="G132" s="9" t="inlineStr">
        <is>
          <t>Tampa</t>
        </is>
      </c>
      <c r="H132" s="9" t="inlineStr">
        <is>
          <t>Meridian Field Kit</t>
        </is>
      </c>
      <c r="I132" s="10" t="n">
        <v>7</v>
      </c>
      <c r="J132" s="16" t="n">
        <v>1240</v>
      </c>
      <c r="K132" s="18" t="n">
        <v>0</v>
      </c>
      <c r="L132" s="16">
        <f>I132*J132</f>
        <v/>
      </c>
      <c r="M132" s="16">
        <f>ROUND(L132*(1-K132),2)</f>
        <v/>
      </c>
      <c r="N132" s="16" t="n">
        <v>806</v>
      </c>
      <c r="O132" s="16">
        <f>I132*N132</f>
        <v/>
      </c>
      <c r="P132" s="18">
        <f>IFERROR((M132-O132)/M132,0)</f>
        <v/>
      </c>
      <c r="Q132" s="16" t="n">
        <v>0</v>
      </c>
      <c r="R132" s="9" t="inlineStr">
        <is>
          <t>Partner</t>
        </is>
      </c>
      <c r="S132" s="9" t="inlineStr">
        <is>
          <t>Jordan Vale</t>
        </is>
      </c>
      <c r="T132" s="9" t="inlineStr">
        <is>
          <t>Shipped</t>
        </is>
      </c>
      <c r="U132" s="10" t="n">
        <v>142</v>
      </c>
      <c r="V132" s="9" t="inlineStr">
        <is>
          <t>Ship with calibration cert</t>
        </is>
      </c>
    </row>
    <row r="133">
      <c r="A133" s="7" t="inlineStr">
        <is>
          <t>AP-30961</t>
        </is>
      </c>
      <c r="B133" s="23" t="n">
        <v>46261</v>
      </c>
      <c r="C133" s="7">
        <f>TEXT(B133,"yyyy-mm")</f>
        <v/>
      </c>
      <c r="D133" s="7" t="inlineStr">
        <is>
          <t>NLG-044</t>
        </is>
      </c>
      <c r="E133" s="9" t="inlineStr">
        <is>
          <t>Northlight Group</t>
        </is>
      </c>
      <c r="F133" s="9" t="inlineStr">
        <is>
          <t>Central Florida</t>
        </is>
      </c>
      <c r="G133" s="9" t="inlineStr">
        <is>
          <t>Brandon</t>
        </is>
      </c>
      <c r="H133" s="9" t="inlineStr">
        <is>
          <t>Calibration service</t>
        </is>
      </c>
      <c r="I133" s="10" t="n">
        <v>6</v>
      </c>
      <c r="J133" s="16" t="n">
        <v>180</v>
      </c>
      <c r="K133" s="18" t="n">
        <v>0.05</v>
      </c>
      <c r="L133" s="16">
        <f>I133*J133</f>
        <v/>
      </c>
      <c r="M133" s="16">
        <f>ROUND(L133*(1-K133),2)</f>
        <v/>
      </c>
      <c r="N133" s="16" t="n">
        <v>99</v>
      </c>
      <c r="O133" s="16">
        <f>I133*N133</f>
        <v/>
      </c>
      <c r="P133" s="18">
        <f>IFERROR((M133-O133)/M133,0)</f>
        <v/>
      </c>
      <c r="Q133" s="16" t="n">
        <v>0</v>
      </c>
      <c r="R133" s="9" t="inlineStr">
        <is>
          <t>Partner</t>
        </is>
      </c>
      <c r="S133" s="9" t="inlineStr">
        <is>
          <t>Morgan Reyes</t>
        </is>
      </c>
      <c r="T133" s="9" t="inlineStr">
        <is>
          <t>Invoiced</t>
        </is>
      </c>
      <c r="U133" s="10" t="n">
        <v>143</v>
      </c>
      <c r="V133" s="9" t="inlineStr">
        <is>
          <t>PO on file</t>
        </is>
      </c>
    </row>
    <row r="134">
      <c r="A134" s="7" t="inlineStr">
        <is>
          <t>AP-30968</t>
        </is>
      </c>
      <c r="B134" s="23" t="n">
        <v>46288</v>
      </c>
      <c r="C134" s="7">
        <f>TEXT(B134,"yyyy-mm")</f>
        <v/>
      </c>
      <c r="D134" s="7" t="inlineStr">
        <is>
          <t>DIR-000</t>
        </is>
      </c>
      <c r="E134" s="9" t="inlineStr">
        <is>
          <t>Apex Instruments direct</t>
        </is>
      </c>
      <c r="F134" s="9" t="inlineStr">
        <is>
          <t>House</t>
        </is>
      </c>
      <c r="G134" s="9" t="inlineStr">
        <is>
          <t>Tampa</t>
        </is>
      </c>
      <c r="H134" s="9" t="inlineStr">
        <is>
          <t>Meridian Bench</t>
        </is>
      </c>
      <c r="I134" s="10" t="n">
        <v>2</v>
      </c>
      <c r="J134" s="16" t="n">
        <v>4850</v>
      </c>
      <c r="K134" s="18" t="n">
        <v>0</v>
      </c>
      <c r="L134" s="16">
        <f>I134*J134</f>
        <v/>
      </c>
      <c r="M134" s="16">
        <f>ROUND(L134*(1-K134),2)</f>
        <v/>
      </c>
      <c r="N134" s="16" t="n">
        <v>2910</v>
      </c>
      <c r="O134" s="16">
        <f>I134*N134</f>
        <v/>
      </c>
      <c r="P134" s="18">
        <f>IFERROR((M134-O134)/M134,0)</f>
        <v/>
      </c>
      <c r="Q134" s="16" t="n">
        <v>105.21</v>
      </c>
      <c r="R134" s="9" t="inlineStr">
        <is>
          <t>Direct</t>
        </is>
      </c>
      <c r="S134" s="9" t="inlineStr">
        <is>
          <t>Morgan Reyes</t>
        </is>
      </c>
      <c r="T134" s="9" t="inlineStr">
        <is>
          <t>Shipped</t>
        </is>
      </c>
      <c r="U134" s="10" t="n">
        <v>144</v>
      </c>
      <c r="V134" s="9" t="inlineStr"/>
    </row>
    <row r="135">
      <c r="A135" s="7" t="inlineStr">
        <is>
          <t>AP-30975</t>
        </is>
      </c>
      <c r="B135" s="23" t="n">
        <v>46206</v>
      </c>
      <c r="C135" s="7">
        <f>TEXT(B135,"yyyy-mm")</f>
        <v/>
      </c>
      <c r="D135" s="7" t="inlineStr">
        <is>
          <t>NLG-031</t>
        </is>
      </c>
      <c r="E135" s="9" t="inlineStr">
        <is>
          <t>Northlight Group</t>
        </is>
      </c>
      <c r="F135" s="9" t="inlineStr">
        <is>
          <t>Gulf Coast</t>
        </is>
      </c>
      <c r="G135" s="9" t="inlineStr">
        <is>
          <t>Sarasota</t>
        </is>
      </c>
      <c r="H135" s="9" t="inlineStr">
        <is>
          <t>Meridian Field Kit</t>
        </is>
      </c>
      <c r="I135" s="10" t="n">
        <v>7</v>
      </c>
      <c r="J135" s="16" t="n">
        <v>1240</v>
      </c>
      <c r="K135" s="18" t="n">
        <v>0</v>
      </c>
      <c r="L135" s="16">
        <f>I135*J135</f>
        <v/>
      </c>
      <c r="M135" s="16">
        <f>ROUND(L135*(1-K135),2)</f>
        <v/>
      </c>
      <c r="N135" s="16" t="n">
        <v>806</v>
      </c>
      <c r="O135" s="16">
        <f>I135*N135</f>
        <v/>
      </c>
      <c r="P135" s="18">
        <f>IFERROR((M135-O135)/M135,0)</f>
        <v/>
      </c>
      <c r="Q135" s="16" t="n">
        <v>135.3</v>
      </c>
      <c r="R135" s="9" t="inlineStr">
        <is>
          <t>Partner</t>
        </is>
      </c>
      <c r="S135" s="9" t="inlineStr">
        <is>
          <t>Morgan Reyes</t>
        </is>
      </c>
      <c r="T135" s="9" t="inlineStr">
        <is>
          <t>Invoiced</t>
        </is>
      </c>
      <c r="U135" s="10" t="n">
        <v>145</v>
      </c>
      <c r="V135" s="9" t="inlineStr"/>
    </row>
    <row r="136">
      <c r="A136" s="7" t="inlineStr">
        <is>
          <t>AP-30981</t>
        </is>
      </c>
      <c r="B136" s="23" t="n">
        <v>46256</v>
      </c>
      <c r="C136" s="7">
        <f>TEXT(B136,"yyyy-mm")</f>
        <v/>
      </c>
      <c r="D136" s="7" t="inlineStr">
        <is>
          <t>NLG-011</t>
        </is>
      </c>
      <c r="E136" s="9" t="inlineStr">
        <is>
          <t>Northlight Group</t>
        </is>
      </c>
      <c r="F136" s="9" t="inlineStr">
        <is>
          <t>Gulf Coast</t>
        </is>
      </c>
      <c r="G136" s="9" t="inlineStr">
        <is>
          <t>Tampa</t>
        </is>
      </c>
      <c r="H136" s="9" t="inlineStr">
        <is>
          <t>Meridian Field Kit</t>
        </is>
      </c>
      <c r="I136" s="10" t="n">
        <v>6</v>
      </c>
      <c r="J136" s="16" t="n">
        <v>1240</v>
      </c>
      <c r="K136" s="18" t="n">
        <v>0.03</v>
      </c>
      <c r="L136" s="16">
        <f>I136*J136</f>
        <v/>
      </c>
      <c r="M136" s="16">
        <f>ROUND(L136*(1-K136),2)</f>
        <v/>
      </c>
      <c r="N136" s="16" t="n">
        <v>806</v>
      </c>
      <c r="O136" s="16">
        <f>I136*N136</f>
        <v/>
      </c>
      <c r="P136" s="18">
        <f>IFERROR((M136-O136)/M136,0)</f>
        <v/>
      </c>
      <c r="Q136" s="16" t="n">
        <v>165.06</v>
      </c>
      <c r="R136" s="9" t="inlineStr">
        <is>
          <t>Partner</t>
        </is>
      </c>
      <c r="S136" s="9" t="inlineStr">
        <is>
          <t>Sami Torres</t>
        </is>
      </c>
      <c r="T136" s="9" t="inlineStr">
        <is>
          <t>Shipped</t>
        </is>
      </c>
      <c r="U136" s="10" t="n">
        <v>146</v>
      </c>
      <c r="V136" s="9" t="inlineStr">
        <is>
          <t>Split shipment</t>
        </is>
      </c>
    </row>
    <row r="137">
      <c r="A137" s="7" t="inlineStr">
        <is>
          <t>AP-30997</t>
        </is>
      </c>
      <c r="B137" s="23" t="n">
        <v>46248</v>
      </c>
      <c r="C137" s="7">
        <f>TEXT(B137,"yyyy-mm")</f>
        <v/>
      </c>
      <c r="D137" s="7" t="inlineStr">
        <is>
          <t>NLG-036</t>
        </is>
      </c>
      <c r="E137" s="9" t="inlineStr">
        <is>
          <t>Northlight Group</t>
        </is>
      </c>
      <c r="F137" s="9" t="inlineStr">
        <is>
          <t>Gulf Coast</t>
        </is>
      </c>
      <c r="G137" s="9" t="inlineStr">
        <is>
          <t>Clearwater</t>
        </is>
      </c>
      <c r="H137" s="9" t="inlineStr">
        <is>
          <t>On-site training</t>
        </is>
      </c>
      <c r="I137" s="10" t="n">
        <v>3</v>
      </c>
      <c r="J137" s="16" t="n">
        <v>650</v>
      </c>
      <c r="K137" s="18" t="n">
        <v>0</v>
      </c>
      <c r="L137" s="16">
        <f>I137*J137</f>
        <v/>
      </c>
      <c r="M137" s="16">
        <f>ROUND(L137*(1-K137),2)</f>
        <v/>
      </c>
      <c r="N137" s="16" t="n">
        <v>429</v>
      </c>
      <c r="O137" s="16">
        <f>I137*N137</f>
        <v/>
      </c>
      <c r="P137" s="18">
        <f>IFERROR((M137-O137)/M137,0)</f>
        <v/>
      </c>
      <c r="Q137" s="16" t="n">
        <v>0</v>
      </c>
      <c r="R137" s="9" t="inlineStr">
        <is>
          <t>Partner</t>
        </is>
      </c>
      <c r="S137" s="9" t="inlineStr">
        <is>
          <t>Sami Torres</t>
        </is>
      </c>
      <c r="T137" s="9" t="inlineStr">
        <is>
          <t>Invoiced</t>
        </is>
      </c>
      <c r="U137" s="10" t="n">
        <v>148</v>
      </c>
      <c r="V137" s="9" t="inlineStr">
        <is>
          <t>Replaces damaged unit</t>
        </is>
      </c>
    </row>
    <row r="138">
      <c r="A138" s="7" t="inlineStr">
        <is>
          <t>AP-31001</t>
        </is>
      </c>
      <c r="B138" s="23" t="n">
        <v>46206</v>
      </c>
      <c r="C138" s="7">
        <f>TEXT(B138,"yyyy-mm")</f>
        <v/>
      </c>
      <c r="D138" s="7" t="inlineStr">
        <is>
          <t>NLG-011</t>
        </is>
      </c>
      <c r="E138" s="9" t="inlineStr">
        <is>
          <t>Northlight Group</t>
        </is>
      </c>
      <c r="F138" s="9" t="inlineStr">
        <is>
          <t>Gulf Coast</t>
        </is>
      </c>
      <c r="G138" s="9" t="inlineStr">
        <is>
          <t>Tampa</t>
        </is>
      </c>
      <c r="H138" s="9" t="inlineStr">
        <is>
          <t>Meridian Field Kit</t>
        </is>
      </c>
      <c r="I138" s="10" t="n">
        <v>5</v>
      </c>
      <c r="J138" s="16" t="n">
        <v>1240</v>
      </c>
      <c r="K138" s="18" t="n">
        <v>0.03</v>
      </c>
      <c r="L138" s="16">
        <f>I138*J138</f>
        <v/>
      </c>
      <c r="M138" s="16">
        <f>ROUND(L138*(1-K138),2)</f>
        <v/>
      </c>
      <c r="N138" s="16" t="n">
        <v>806</v>
      </c>
      <c r="O138" s="16">
        <f>I138*N138</f>
        <v/>
      </c>
      <c r="P138" s="18">
        <f>IFERROR((M138-O138)/M138,0)</f>
        <v/>
      </c>
      <c r="Q138" s="16" t="n">
        <v>106.98</v>
      </c>
      <c r="R138" s="9" t="inlineStr">
        <is>
          <t>Partner</t>
        </is>
      </c>
      <c r="S138" s="9" t="inlineStr">
        <is>
          <t>Jordan Vale</t>
        </is>
      </c>
      <c r="T138" s="9" t="inlineStr">
        <is>
          <t>Invoiced</t>
        </is>
      </c>
      <c r="U138" s="10" t="n">
        <v>149</v>
      </c>
      <c r="V138" s="9" t="inlineStr">
        <is>
          <t>Backorder cleared</t>
        </is>
      </c>
    </row>
    <row r="139">
      <c r="A139" s="7" t="inlineStr">
        <is>
          <t>AP-31010</t>
        </is>
      </c>
      <c r="B139" s="23" t="n">
        <v>46254</v>
      </c>
      <c r="C139" s="7">
        <f>TEXT(B139,"yyyy-mm")</f>
        <v/>
      </c>
      <c r="D139" s="7" t="inlineStr">
        <is>
          <t>NLG-036</t>
        </is>
      </c>
      <c r="E139" s="9" t="inlineStr">
        <is>
          <t>Northlight Group</t>
        </is>
      </c>
      <c r="F139" s="9" t="inlineStr">
        <is>
          <t>Gulf Coast</t>
        </is>
      </c>
      <c r="G139" s="9" t="inlineStr">
        <is>
          <t>Clearwater</t>
        </is>
      </c>
      <c r="H139" s="9" t="inlineStr">
        <is>
          <t>Meridian Bench</t>
        </is>
      </c>
      <c r="I139" s="10" t="n">
        <v>1</v>
      </c>
      <c r="J139" s="16" t="n">
        <v>4850</v>
      </c>
      <c r="K139" s="18" t="n">
        <v>0</v>
      </c>
      <c r="L139" s="16">
        <f>I139*J139</f>
        <v/>
      </c>
      <c r="M139" s="16">
        <f>ROUND(L139*(1-K139),2)</f>
        <v/>
      </c>
      <c r="N139" s="16" t="n">
        <v>2910</v>
      </c>
      <c r="O139" s="16">
        <f>I139*N139</f>
        <v/>
      </c>
      <c r="P139" s="18">
        <f>IFERROR((M139-O139)/M139,0)</f>
        <v/>
      </c>
      <c r="Q139" s="16" t="n">
        <v>144.11</v>
      </c>
      <c r="R139" s="9" t="inlineStr">
        <is>
          <t>Partner</t>
        </is>
      </c>
      <c r="S139" s="9" t="inlineStr">
        <is>
          <t>Sami Torres</t>
        </is>
      </c>
      <c r="T139" s="9" t="inlineStr">
        <is>
          <t>Invoiced</t>
        </is>
      </c>
      <c r="U139" s="10" t="n">
        <v>150</v>
      </c>
      <c r="V139" s="9" t="inlineStr">
        <is>
          <t>Split shipment</t>
        </is>
      </c>
    </row>
    <row r="140">
      <c r="A140" s="7" t="inlineStr">
        <is>
          <t>AP-31019</t>
        </is>
      </c>
      <c r="B140" s="23" t="n">
        <v>46237</v>
      </c>
      <c r="C140" s="7">
        <f>TEXT(B140,"yyyy-mm")</f>
        <v/>
      </c>
      <c r="D140" s="7" t="inlineStr">
        <is>
          <t>NLG-027</t>
        </is>
      </c>
      <c r="E140" s="9" t="inlineStr">
        <is>
          <t>Northlight Group</t>
        </is>
      </c>
      <c r="F140" s="9" t="inlineStr">
        <is>
          <t>Central Florida</t>
        </is>
      </c>
      <c r="G140" s="9" t="inlineStr">
        <is>
          <t>Lakeland</t>
        </is>
      </c>
      <c r="H140" s="9" t="inlineStr">
        <is>
          <t>Meridian Bench</t>
        </is>
      </c>
      <c r="I140" s="10" t="n">
        <v>1</v>
      </c>
      <c r="J140" s="16" t="n">
        <v>4850</v>
      </c>
      <c r="K140" s="18" t="n">
        <v>0.05</v>
      </c>
      <c r="L140" s="16">
        <f>I140*J140</f>
        <v/>
      </c>
      <c r="M140" s="16">
        <f>ROUND(L140*(1-K140),2)</f>
        <v/>
      </c>
      <c r="N140" s="16" t="n">
        <v>2910</v>
      </c>
      <c r="O140" s="16">
        <f>I140*N140</f>
        <v/>
      </c>
      <c r="P140" s="18">
        <f>IFERROR((M140-O140)/M140,0)</f>
        <v/>
      </c>
      <c r="Q140" s="16" t="n">
        <v>0</v>
      </c>
      <c r="R140" s="9" t="inlineStr">
        <is>
          <t>Partner</t>
        </is>
      </c>
      <c r="S140" s="9" t="inlineStr">
        <is>
          <t>Jordan Vale</t>
        </is>
      </c>
      <c r="T140" s="9" t="inlineStr">
        <is>
          <t>Open</t>
        </is>
      </c>
      <c r="U140" s="10" t="n">
        <v>151</v>
      </c>
      <c r="V140" s="9" t="inlineStr">
        <is>
          <t>Split shipment</t>
        </is>
      </c>
    </row>
    <row r="141">
      <c r="A141" s="7" t="inlineStr">
        <is>
          <t>AP-31023</t>
        </is>
      </c>
      <c r="B141" s="23" t="n">
        <v>46261</v>
      </c>
      <c r="C141" s="7">
        <f>TEXT(B141,"yyyy-mm")</f>
        <v/>
      </c>
      <c r="D141" s="7" t="inlineStr">
        <is>
          <t>NLG-014</t>
        </is>
      </c>
      <c r="E141" s="9" t="inlineStr">
        <is>
          <t>Northlight Group</t>
        </is>
      </c>
      <c r="F141" s="9" t="inlineStr">
        <is>
          <t>Gulf Coast</t>
        </is>
      </c>
      <c r="G141" s="9" t="inlineStr">
        <is>
          <t>St. Petersburg</t>
        </is>
      </c>
      <c r="H141" s="9" t="inlineStr">
        <is>
          <t>On-site training</t>
        </is>
      </c>
      <c r="I141" s="10" t="n">
        <v>3</v>
      </c>
      <c r="J141" s="16" t="n">
        <v>650</v>
      </c>
      <c r="K141" s="18" t="n">
        <v>0.03</v>
      </c>
      <c r="L141" s="16">
        <f>I141*J141</f>
        <v/>
      </c>
      <c r="M141" s="16">
        <f>ROUND(L141*(1-K141),2)</f>
        <v/>
      </c>
      <c r="N141" s="16" t="n">
        <v>429</v>
      </c>
      <c r="O141" s="16">
        <f>I141*N141</f>
        <v/>
      </c>
      <c r="P141" s="18">
        <f>IFERROR((M141-O141)/M141,0)</f>
        <v/>
      </c>
      <c r="Q141" s="16" t="n">
        <v>0</v>
      </c>
      <c r="R141" s="9" t="inlineStr">
        <is>
          <t>Partner</t>
        </is>
      </c>
      <c r="S141" s="9" t="inlineStr">
        <is>
          <t>Jordan Vale</t>
        </is>
      </c>
      <c r="T141" s="9" t="inlineStr">
        <is>
          <t>Invoiced</t>
        </is>
      </c>
      <c r="U141" s="10" t="n">
        <v>152</v>
      </c>
      <c r="V141" s="9" t="inlineStr">
        <is>
          <t>Quote 2026-Q3 pricing</t>
        </is>
      </c>
    </row>
    <row r="142">
      <c r="A142" s="7" t="inlineStr">
        <is>
          <t>AP-31029</t>
        </is>
      </c>
      <c r="B142" s="23" t="n">
        <v>46214</v>
      </c>
      <c r="C142" s="7">
        <f>TEXT(B142,"yyyy-mm")</f>
        <v/>
      </c>
      <c r="D142" s="7" t="inlineStr">
        <is>
          <t>NLG-014</t>
        </is>
      </c>
      <c r="E142" s="9" t="inlineStr">
        <is>
          <t>Northlight Group</t>
        </is>
      </c>
      <c r="F142" s="9" t="inlineStr">
        <is>
          <t>Gulf Coast</t>
        </is>
      </c>
      <c r="G142" s="9" t="inlineStr">
        <is>
          <t>St. Petersburg</t>
        </is>
      </c>
      <c r="H142" s="9" t="inlineStr">
        <is>
          <t>On-site training</t>
        </is>
      </c>
      <c r="I142" s="10" t="n">
        <v>1</v>
      </c>
      <c r="J142" s="16" t="n">
        <v>650</v>
      </c>
      <c r="K142" s="18" t="n">
        <v>0.12</v>
      </c>
      <c r="L142" s="16">
        <f>I142*J142</f>
        <v/>
      </c>
      <c r="M142" s="16">
        <f>ROUND(L142*(1-K142),2)</f>
        <v/>
      </c>
      <c r="N142" s="16" t="n">
        <v>429</v>
      </c>
      <c r="O142" s="16">
        <f>I142*N142</f>
        <v/>
      </c>
      <c r="P142" s="18">
        <f>IFERROR((M142-O142)/M142,0)</f>
        <v/>
      </c>
      <c r="Q142" s="16" t="n">
        <v>0</v>
      </c>
      <c r="R142" s="9" t="inlineStr">
        <is>
          <t>Partner</t>
        </is>
      </c>
      <c r="S142" s="9" t="inlineStr">
        <is>
          <t>Avery Kellen</t>
        </is>
      </c>
      <c r="T142" s="9" t="inlineStr">
        <is>
          <t>Shipped</t>
        </is>
      </c>
      <c r="U142" s="10" t="n">
        <v>153</v>
      </c>
      <c r="V142" s="9" t="inlineStr"/>
    </row>
    <row r="143">
      <c r="A143" s="7" t="inlineStr">
        <is>
          <t>AP-31039</t>
        </is>
      </c>
      <c r="B143" s="23" t="n">
        <v>46276</v>
      </c>
      <c r="C143" s="7">
        <f>TEXT(B143,"yyyy-mm")</f>
        <v/>
      </c>
      <c r="D143" s="7" t="inlineStr">
        <is>
          <t>DIR-000</t>
        </is>
      </c>
      <c r="E143" s="9" t="inlineStr">
        <is>
          <t>Apex Instruments direct</t>
        </is>
      </c>
      <c r="F143" s="9" t="inlineStr">
        <is>
          <t>House</t>
        </is>
      </c>
      <c r="G143" s="9" t="inlineStr">
        <is>
          <t>Tampa</t>
        </is>
      </c>
      <c r="H143" s="9" t="inlineStr">
        <is>
          <t>Meridian Field Kit</t>
        </is>
      </c>
      <c r="I143" s="10" t="n">
        <v>3</v>
      </c>
      <c r="J143" s="16" t="n">
        <v>1240</v>
      </c>
      <c r="K143" s="18" t="n">
        <v>0</v>
      </c>
      <c r="L143" s="16">
        <f>I143*J143</f>
        <v/>
      </c>
      <c r="M143" s="16">
        <f>ROUND(L143*(1-K143),2)</f>
        <v/>
      </c>
      <c r="N143" s="16" t="n">
        <v>806</v>
      </c>
      <c r="O143" s="16">
        <f>I143*N143</f>
        <v/>
      </c>
      <c r="P143" s="18">
        <f>IFERROR((M143-O143)/M143,0)</f>
        <v/>
      </c>
      <c r="Q143" s="16" t="n">
        <v>54.35</v>
      </c>
      <c r="R143" s="9" t="inlineStr">
        <is>
          <t>Direct</t>
        </is>
      </c>
      <c r="S143" s="9" t="inlineStr">
        <is>
          <t>Jordan Vale</t>
        </is>
      </c>
      <c r="T143" s="9" t="inlineStr">
        <is>
          <t>Shipped</t>
        </is>
      </c>
      <c r="U143" s="10" t="n">
        <v>154</v>
      </c>
      <c r="V143" s="9" t="inlineStr">
        <is>
          <t>Backorder cleared</t>
        </is>
      </c>
    </row>
    <row r="144">
      <c r="A144" s="7" t="inlineStr">
        <is>
          <t>AP-31044</t>
        </is>
      </c>
      <c r="B144" s="23" t="n">
        <v>46243</v>
      </c>
      <c r="C144" s="7">
        <f>TEXT(B144,"yyyy-mm")</f>
        <v/>
      </c>
      <c r="D144" s="7" t="inlineStr">
        <is>
          <t>NLG-022</t>
        </is>
      </c>
      <c r="E144" s="9" t="inlineStr">
        <is>
          <t>Northlight Group</t>
        </is>
      </c>
      <c r="F144" s="9" t="inlineStr">
        <is>
          <t>Central Florida</t>
        </is>
      </c>
      <c r="G144" s="9" t="inlineStr">
        <is>
          <t>Orlando</t>
        </is>
      </c>
      <c r="H144" s="9" t="inlineStr">
        <is>
          <t>Meridian Field Kit</t>
        </is>
      </c>
      <c r="I144" s="10" t="n">
        <v>6</v>
      </c>
      <c r="J144" s="16" t="n">
        <v>1240</v>
      </c>
      <c r="K144" s="18" t="n">
        <v>0</v>
      </c>
      <c r="L144" s="16">
        <f>I144*J144</f>
        <v/>
      </c>
      <c r="M144" s="16">
        <f>ROUND(L144*(1-K144),2)</f>
        <v/>
      </c>
      <c r="N144" s="16" t="n">
        <v>806</v>
      </c>
      <c r="O144" s="16">
        <f>I144*N144</f>
        <v/>
      </c>
      <c r="P144" s="18">
        <f>IFERROR((M144-O144)/M144,0)</f>
        <v/>
      </c>
      <c r="Q144" s="16" t="n">
        <v>150.41</v>
      </c>
      <c r="R144" s="9" t="inlineStr">
        <is>
          <t>Partner</t>
        </is>
      </c>
      <c r="S144" s="9" t="inlineStr">
        <is>
          <t>Sami Torres</t>
        </is>
      </c>
      <c r="T144" s="9" t="inlineStr">
        <is>
          <t>Invoiced</t>
        </is>
      </c>
      <c r="U144" s="10" t="n">
        <v>155</v>
      </c>
      <c r="V144" s="9" t="inlineStr">
        <is>
          <t>Backorder cleared</t>
        </is>
      </c>
    </row>
    <row r="145">
      <c r="A145" s="7" t="inlineStr">
        <is>
          <t>AP-31052</t>
        </is>
      </c>
      <c r="B145" s="23" t="n">
        <v>46264</v>
      </c>
      <c r="C145" s="7">
        <f>TEXT(B145,"yyyy-mm")</f>
        <v/>
      </c>
      <c r="D145" s="7" t="inlineStr">
        <is>
          <t>DIR-000</t>
        </is>
      </c>
      <c r="E145" s="9" t="inlineStr">
        <is>
          <t>Apex Instruments direct</t>
        </is>
      </c>
      <c r="F145" s="9" t="inlineStr">
        <is>
          <t>House</t>
        </is>
      </c>
      <c r="G145" s="9" t="inlineStr">
        <is>
          <t>Tampa</t>
        </is>
      </c>
      <c r="H145" s="9" t="inlineStr">
        <is>
          <t>On-site training</t>
        </is>
      </c>
      <c r="I145" s="10" t="n">
        <v>2</v>
      </c>
      <c r="J145" s="16" t="n">
        <v>650</v>
      </c>
      <c r="K145" s="18" t="n">
        <v>0.03</v>
      </c>
      <c r="L145" s="16">
        <f>I145*J145</f>
        <v/>
      </c>
      <c r="M145" s="16">
        <f>ROUND(L145*(1-K145),2)</f>
        <v/>
      </c>
      <c r="N145" s="16" t="n">
        <v>429</v>
      </c>
      <c r="O145" s="16">
        <f>I145*N145</f>
        <v/>
      </c>
      <c r="P145" s="18">
        <f>IFERROR((M145-O145)/M145,0)</f>
        <v/>
      </c>
      <c r="Q145" s="16" t="n">
        <v>0</v>
      </c>
      <c r="R145" s="9" t="inlineStr">
        <is>
          <t>Direct</t>
        </is>
      </c>
      <c r="S145" s="9" t="inlineStr">
        <is>
          <t>Avery Kellen</t>
        </is>
      </c>
      <c r="T145" s="9" t="inlineStr">
        <is>
          <t>Shipped</t>
        </is>
      </c>
      <c r="U145" s="10" t="n">
        <v>156</v>
      </c>
      <c r="V145" s="9" t="inlineStr">
        <is>
          <t>PO on file</t>
        </is>
      </c>
    </row>
    <row r="146">
      <c r="A146" s="7" t="inlineStr">
        <is>
          <t>AP-31061</t>
        </is>
      </c>
      <c r="B146" s="23" t="n">
        <v>46257</v>
      </c>
      <c r="C146" s="7">
        <f>TEXT(B146,"yyyy-mm")</f>
        <v/>
      </c>
      <c r="D146" s="7" t="inlineStr">
        <is>
          <t>NLG-011</t>
        </is>
      </c>
      <c r="E146" s="9" t="inlineStr">
        <is>
          <t>Northlight Group</t>
        </is>
      </c>
      <c r="F146" s="9" t="inlineStr">
        <is>
          <t>Gulf Coast</t>
        </is>
      </c>
      <c r="G146" s="9" t="inlineStr">
        <is>
          <t>Tampa</t>
        </is>
      </c>
      <c r="H146" s="9" t="inlineStr">
        <is>
          <t>Meridian Field Kit</t>
        </is>
      </c>
      <c r="I146" s="10" t="n">
        <v>2</v>
      </c>
      <c r="J146" s="16" t="n">
        <v>1240</v>
      </c>
      <c r="K146" s="18" t="n">
        <v>0</v>
      </c>
      <c r="L146" s="16">
        <f>I146*J146</f>
        <v/>
      </c>
      <c r="M146" s="16">
        <f>ROUND(L146*(1-K146),2)</f>
        <v/>
      </c>
      <c r="N146" s="16" t="n">
        <v>806</v>
      </c>
      <c r="O146" s="16">
        <f>I146*N146</f>
        <v/>
      </c>
      <c r="P146" s="18">
        <f>IFERROR((M146-O146)/M146,0)</f>
        <v/>
      </c>
      <c r="Q146" s="16" t="n">
        <v>0</v>
      </c>
      <c r="R146" s="9" t="inlineStr">
        <is>
          <t>Partner</t>
        </is>
      </c>
      <c r="S146" s="9" t="inlineStr">
        <is>
          <t>Jordan Vale</t>
        </is>
      </c>
      <c r="T146" s="9" t="inlineStr">
        <is>
          <t>Open</t>
        </is>
      </c>
      <c r="U146" s="10" t="n">
        <v>157</v>
      </c>
      <c r="V146" s="9" t="inlineStr"/>
    </row>
    <row r="147">
      <c r="A147" s="7" t="inlineStr">
        <is>
          <t>AP-31067</t>
        </is>
      </c>
      <c r="B147" s="23" t="n">
        <v>46242</v>
      </c>
      <c r="C147" s="7">
        <f>TEXT(B147,"yyyy-mm")</f>
        <v/>
      </c>
      <c r="D147" s="7" t="inlineStr">
        <is>
          <t>DIR-000</t>
        </is>
      </c>
      <c r="E147" s="9" t="inlineStr">
        <is>
          <t>Apex Instruments direct</t>
        </is>
      </c>
      <c r="F147" s="9" t="inlineStr">
        <is>
          <t>House</t>
        </is>
      </c>
      <c r="G147" s="9" t="inlineStr">
        <is>
          <t>Tampa</t>
        </is>
      </c>
      <c r="H147" s="9" t="inlineStr">
        <is>
          <t>Atlas Care Plus</t>
        </is>
      </c>
      <c r="I147" s="10" t="n">
        <v>8</v>
      </c>
      <c r="J147" s="16" t="n">
        <v>1788</v>
      </c>
      <c r="K147" s="18" t="n">
        <v>0.05</v>
      </c>
      <c r="L147" s="16">
        <f>I147*J147</f>
        <v/>
      </c>
      <c r="M147" s="16">
        <f>ROUND(L147*(1-K147),2)</f>
        <v/>
      </c>
      <c r="N147" s="16" t="n">
        <v>447</v>
      </c>
      <c r="O147" s="16">
        <f>I147*N147</f>
        <v/>
      </c>
      <c r="P147" s="18">
        <f>IFERROR((M147-O147)/M147,0)</f>
        <v/>
      </c>
      <c r="Q147" s="16" t="n">
        <v>0</v>
      </c>
      <c r="R147" s="9" t="inlineStr">
        <is>
          <t>Direct</t>
        </is>
      </c>
      <c r="S147" s="9" t="inlineStr">
        <is>
          <t>Sami Torres</t>
        </is>
      </c>
      <c r="T147" s="9" t="inlineStr">
        <is>
          <t>Shipped</t>
        </is>
      </c>
      <c r="U147" s="10" t="n">
        <v>158</v>
      </c>
      <c r="V147" s="9" t="inlineStr">
        <is>
          <t>Replaces damaged unit</t>
        </is>
      </c>
    </row>
    <row r="148">
      <c r="A148" s="7" t="inlineStr">
        <is>
          <t>AP-31074</t>
        </is>
      </c>
      <c r="B148" s="23" t="n">
        <v>46220</v>
      </c>
      <c r="C148" s="7">
        <f>TEXT(B148,"yyyy-mm")</f>
        <v/>
      </c>
      <c r="D148" s="7" t="inlineStr">
        <is>
          <t>NLG-011</t>
        </is>
      </c>
      <c r="E148" s="9" t="inlineStr">
        <is>
          <t>Northlight Group</t>
        </is>
      </c>
      <c r="F148" s="9" t="inlineStr">
        <is>
          <t>Gulf Coast</t>
        </is>
      </c>
      <c r="G148" s="9" t="inlineStr">
        <is>
          <t>Tampa</t>
        </is>
      </c>
      <c r="H148" s="9" t="inlineStr">
        <is>
          <t>Meridian Bench</t>
        </is>
      </c>
      <c r="I148" s="10" t="n">
        <v>2</v>
      </c>
      <c r="J148" s="16" t="n">
        <v>4850</v>
      </c>
      <c r="K148" s="18" t="n">
        <v>0</v>
      </c>
      <c r="L148" s="16">
        <f>I148*J148</f>
        <v/>
      </c>
      <c r="M148" s="16">
        <f>ROUND(L148*(1-K148),2)</f>
        <v/>
      </c>
      <c r="N148" s="16" t="n">
        <v>2910</v>
      </c>
      <c r="O148" s="16">
        <f>I148*N148</f>
        <v/>
      </c>
      <c r="P148" s="18">
        <f>IFERROR((M148-O148)/M148,0)</f>
        <v/>
      </c>
      <c r="Q148" s="16" t="n">
        <v>0</v>
      </c>
      <c r="R148" s="9" t="inlineStr">
        <is>
          <t>Partner</t>
        </is>
      </c>
      <c r="S148" s="9" t="inlineStr">
        <is>
          <t>Jordan Vale</t>
        </is>
      </c>
      <c r="T148" s="9" t="inlineStr">
        <is>
          <t>Open</t>
        </is>
      </c>
      <c r="U148" s="10" t="n">
        <v>159</v>
      </c>
      <c r="V148" s="9" t="inlineStr">
        <is>
          <t>Backorder cleared</t>
        </is>
      </c>
    </row>
    <row r="149">
      <c r="A149" s="7" t="inlineStr">
        <is>
          <t>AP-31081</t>
        </is>
      </c>
      <c r="B149" s="23" t="n">
        <v>46246</v>
      </c>
      <c r="C149" s="7">
        <f>TEXT(B149,"yyyy-mm")</f>
        <v/>
      </c>
      <c r="D149" s="7" t="inlineStr">
        <is>
          <t>NLG-031</t>
        </is>
      </c>
      <c r="E149" s="9" t="inlineStr">
        <is>
          <t>Northlight Group</t>
        </is>
      </c>
      <c r="F149" s="9" t="inlineStr">
        <is>
          <t>Gulf Coast</t>
        </is>
      </c>
      <c r="G149" s="9" t="inlineStr">
        <is>
          <t>Sarasota</t>
        </is>
      </c>
      <c r="H149" s="9" t="inlineStr">
        <is>
          <t>Calibration service</t>
        </is>
      </c>
      <c r="I149" s="10" t="n">
        <v>2</v>
      </c>
      <c r="J149" s="16" t="n">
        <v>180</v>
      </c>
      <c r="K149" s="18" t="n">
        <v>0.03</v>
      </c>
      <c r="L149" s="16">
        <f>I149*J149</f>
        <v/>
      </c>
      <c r="M149" s="16">
        <f>ROUND(L149*(1-K149),2)</f>
        <v/>
      </c>
      <c r="N149" s="16" t="n">
        <v>99</v>
      </c>
      <c r="O149" s="16">
        <f>I149*N149</f>
        <v/>
      </c>
      <c r="P149" s="18">
        <f>IFERROR((M149-O149)/M149,0)</f>
        <v/>
      </c>
      <c r="Q149" s="16" t="n">
        <v>0</v>
      </c>
      <c r="R149" s="9" t="inlineStr">
        <is>
          <t>Partner</t>
        </is>
      </c>
      <c r="S149" s="9" t="inlineStr">
        <is>
          <t>Avery Kellen</t>
        </is>
      </c>
      <c r="T149" s="9" t="inlineStr">
        <is>
          <t>Shipped</t>
        </is>
      </c>
      <c r="U149" s="10" t="n">
        <v>160</v>
      </c>
      <c r="V149" s="9" t="inlineStr"/>
    </row>
    <row r="150">
      <c r="A150" s="7" t="inlineStr">
        <is>
          <t>AP-31088</t>
        </is>
      </c>
      <c r="B150" s="23" t="n">
        <v>46241</v>
      </c>
      <c r="C150" s="7">
        <f>TEXT(B150,"yyyy-mm")</f>
        <v/>
      </c>
      <c r="D150" s="7" t="inlineStr">
        <is>
          <t>NLG-027</t>
        </is>
      </c>
      <c r="E150" s="9" t="inlineStr">
        <is>
          <t>Northlight Group</t>
        </is>
      </c>
      <c r="F150" s="9" t="inlineStr">
        <is>
          <t>Central Florida</t>
        </is>
      </c>
      <c r="G150" s="9" t="inlineStr">
        <is>
          <t>Lakeland</t>
        </is>
      </c>
      <c r="H150" s="9" t="inlineStr">
        <is>
          <t>On-site training</t>
        </is>
      </c>
      <c r="I150" s="10" t="n">
        <v>3</v>
      </c>
      <c r="J150" s="16" t="n">
        <v>650</v>
      </c>
      <c r="K150" s="18" t="n">
        <v>0.1</v>
      </c>
      <c r="L150" s="16">
        <f>I150*J150</f>
        <v/>
      </c>
      <c r="M150" s="16">
        <f>ROUND(L150*(1-K150),2)</f>
        <v/>
      </c>
      <c r="N150" s="16" t="n">
        <v>429</v>
      </c>
      <c r="O150" s="16">
        <f>I150*N150</f>
        <v/>
      </c>
      <c r="P150" s="18">
        <f>IFERROR((M150-O150)/M150,0)</f>
        <v/>
      </c>
      <c r="Q150" s="16" t="n">
        <v>0</v>
      </c>
      <c r="R150" s="9" t="inlineStr">
        <is>
          <t>Partner</t>
        </is>
      </c>
      <c r="S150" s="9" t="inlineStr">
        <is>
          <t>Avery Kellen</t>
        </is>
      </c>
      <c r="T150" s="9" t="inlineStr">
        <is>
          <t>Shipped</t>
        </is>
      </c>
      <c r="U150" s="10" t="n">
        <v>161</v>
      </c>
      <c r="V150" s="9" t="inlineStr">
        <is>
          <t>Renewal</t>
        </is>
      </c>
    </row>
    <row r="151">
      <c r="A151" s="7" t="inlineStr">
        <is>
          <t>AP-31094</t>
        </is>
      </c>
      <c r="B151" s="23" t="n">
        <v>46274</v>
      </c>
      <c r="C151" s="7">
        <f>TEXT(B151,"yyyy-mm")</f>
        <v/>
      </c>
      <c r="D151" s="7" t="inlineStr">
        <is>
          <t>NLG-036</t>
        </is>
      </c>
      <c r="E151" s="9" t="inlineStr">
        <is>
          <t>Northlight Group</t>
        </is>
      </c>
      <c r="F151" s="9" t="inlineStr">
        <is>
          <t>Gulf Coast</t>
        </is>
      </c>
      <c r="G151" s="9" t="inlineStr">
        <is>
          <t>Clearwater</t>
        </is>
      </c>
      <c r="H151" s="9" t="inlineStr">
        <is>
          <t>On-site training</t>
        </is>
      </c>
      <c r="I151" s="10" t="n">
        <v>2</v>
      </c>
      <c r="J151" s="16" t="n">
        <v>650</v>
      </c>
      <c r="K151" s="18" t="n">
        <v>0</v>
      </c>
      <c r="L151" s="16">
        <f>I151*J151</f>
        <v/>
      </c>
      <c r="M151" s="16">
        <f>ROUND(L151*(1-K151),2)</f>
        <v/>
      </c>
      <c r="N151" s="16" t="n">
        <v>429</v>
      </c>
      <c r="O151" s="16">
        <f>I151*N151</f>
        <v/>
      </c>
      <c r="P151" s="18">
        <f>IFERROR((M151-O151)/M151,0)</f>
        <v/>
      </c>
      <c r="Q151" s="16" t="n">
        <v>0</v>
      </c>
      <c r="R151" s="9" t="inlineStr">
        <is>
          <t>Partner</t>
        </is>
      </c>
      <c r="S151" s="9" t="inlineStr">
        <is>
          <t>Sami Torres</t>
        </is>
      </c>
      <c r="T151" s="9" t="inlineStr">
        <is>
          <t>Invoiced</t>
        </is>
      </c>
      <c r="U151" s="10" t="n">
        <v>162</v>
      </c>
      <c r="V151" s="9" t="inlineStr"/>
    </row>
    <row r="152">
      <c r="A152" s="7" t="inlineStr">
        <is>
          <t>AP-31100</t>
        </is>
      </c>
      <c r="B152" s="23" t="n">
        <v>46233</v>
      </c>
      <c r="C152" s="7">
        <f>TEXT(B152,"yyyy-mm")</f>
        <v/>
      </c>
      <c r="D152" s="7" t="inlineStr">
        <is>
          <t>NLG-014</t>
        </is>
      </c>
      <c r="E152" s="9" t="inlineStr">
        <is>
          <t>Northlight Group</t>
        </is>
      </c>
      <c r="F152" s="9" t="inlineStr">
        <is>
          <t>Gulf Coast</t>
        </is>
      </c>
      <c r="G152" s="9" t="inlineStr">
        <is>
          <t>St. Petersburg</t>
        </is>
      </c>
      <c r="H152" s="9" t="inlineStr">
        <is>
          <t>Meridian Bench</t>
        </is>
      </c>
      <c r="I152" s="10" t="n">
        <v>2</v>
      </c>
      <c r="J152" s="16" t="n">
        <v>4850</v>
      </c>
      <c r="K152" s="18" t="n">
        <v>0.05</v>
      </c>
      <c r="L152" s="16">
        <f>I152*J152</f>
        <v/>
      </c>
      <c r="M152" s="16">
        <f>ROUND(L152*(1-K152),2)</f>
        <v/>
      </c>
      <c r="N152" s="16" t="n">
        <v>2910</v>
      </c>
      <c r="O152" s="16">
        <f>I152*N152</f>
        <v/>
      </c>
      <c r="P152" s="18">
        <f>IFERROR((M152-O152)/M152,0)</f>
        <v/>
      </c>
      <c r="Q152" s="16" t="n">
        <v>179.94</v>
      </c>
      <c r="R152" s="9" t="inlineStr">
        <is>
          <t>Partner</t>
        </is>
      </c>
      <c r="S152" s="9" t="inlineStr">
        <is>
          <t>Avery Kellen</t>
        </is>
      </c>
      <c r="T152" s="9" t="inlineStr">
        <is>
          <t>Invoiced</t>
        </is>
      </c>
      <c r="U152" s="10" t="n">
        <v>163</v>
      </c>
      <c r="V152" s="9" t="inlineStr">
        <is>
          <t>Rush requested</t>
        </is>
      </c>
    </row>
    <row r="153">
      <c r="A153" s="7" t="inlineStr">
        <is>
          <t>AP-31115</t>
        </is>
      </c>
      <c r="B153" s="23" t="n">
        <v>46224</v>
      </c>
      <c r="C153" s="7">
        <f>TEXT(B153,"yyyy-mm")</f>
        <v/>
      </c>
      <c r="D153" s="7" t="inlineStr">
        <is>
          <t>DIR-000</t>
        </is>
      </c>
      <c r="E153" s="9" t="inlineStr">
        <is>
          <t>Apex Instruments direct</t>
        </is>
      </c>
      <c r="F153" s="9" t="inlineStr">
        <is>
          <t>House</t>
        </is>
      </c>
      <c r="G153" s="9" t="inlineStr">
        <is>
          <t>Tampa</t>
        </is>
      </c>
      <c r="H153" s="9" t="inlineStr">
        <is>
          <t>Meridian Field Kit</t>
        </is>
      </c>
      <c r="I153" s="10" t="n">
        <v>6</v>
      </c>
      <c r="J153" s="16" t="n">
        <v>1240</v>
      </c>
      <c r="K153" s="18" t="n">
        <v>0.12</v>
      </c>
      <c r="L153" s="16">
        <f>I153*J153</f>
        <v/>
      </c>
      <c r="M153" s="16">
        <f>ROUND(L153*(1-K153),2)</f>
        <v/>
      </c>
      <c r="N153" s="16" t="n">
        <v>806</v>
      </c>
      <c r="O153" s="16">
        <f>I153*N153</f>
        <v/>
      </c>
      <c r="P153" s="18">
        <f>IFERROR((M153-O153)/M153,0)</f>
        <v/>
      </c>
      <c r="Q153" s="16" t="n">
        <v>37.17</v>
      </c>
      <c r="R153" s="9" t="inlineStr">
        <is>
          <t>Direct</t>
        </is>
      </c>
      <c r="S153" s="9" t="inlineStr">
        <is>
          <t>Avery Kellen</t>
        </is>
      </c>
      <c r="T153" s="9" t="inlineStr">
        <is>
          <t>Invoiced</t>
        </is>
      </c>
      <c r="U153" s="10" t="n">
        <v>165</v>
      </c>
      <c r="V153" s="9" t="inlineStr">
        <is>
          <t>Partner pickup</t>
        </is>
      </c>
    </row>
    <row r="154">
      <c r="A154" s="7" t="inlineStr">
        <is>
          <t>AP-31124</t>
        </is>
      </c>
      <c r="B154" s="23" t="n">
        <v>46241</v>
      </c>
      <c r="C154" s="7">
        <f>TEXT(B154,"yyyy-mm")</f>
        <v/>
      </c>
      <c r="D154" s="7" t="inlineStr">
        <is>
          <t>NLG-011</t>
        </is>
      </c>
      <c r="E154" s="9" t="inlineStr">
        <is>
          <t>Northlight Group</t>
        </is>
      </c>
      <c r="F154" s="9" t="inlineStr">
        <is>
          <t>Gulf Coast</t>
        </is>
      </c>
      <c r="G154" s="9" t="inlineStr">
        <is>
          <t>Tampa</t>
        </is>
      </c>
      <c r="H154" s="9" t="inlineStr">
        <is>
          <t>Calibration service</t>
        </is>
      </c>
      <c r="I154" s="10" t="n">
        <v>2</v>
      </c>
      <c r="J154" s="16" t="n">
        <v>180</v>
      </c>
      <c r="K154" s="18" t="n">
        <v>0</v>
      </c>
      <c r="L154" s="16">
        <f>I154*J154</f>
        <v/>
      </c>
      <c r="M154" s="16">
        <f>ROUND(L154*(1-K154),2)</f>
        <v/>
      </c>
      <c r="N154" s="16" t="n">
        <v>99</v>
      </c>
      <c r="O154" s="16">
        <f>I154*N154</f>
        <v/>
      </c>
      <c r="P154" s="18">
        <f>IFERROR((M154-O154)/M154,0)</f>
        <v/>
      </c>
      <c r="Q154" s="16" t="n">
        <v>0</v>
      </c>
      <c r="R154" s="9" t="inlineStr">
        <is>
          <t>Partner</t>
        </is>
      </c>
      <c r="S154" s="9" t="inlineStr">
        <is>
          <t>Jordan Vale</t>
        </is>
      </c>
      <c r="T154" s="9" t="inlineStr">
        <is>
          <t>Invoiced</t>
        </is>
      </c>
      <c r="U154" s="10" t="n">
        <v>166</v>
      </c>
      <c r="V154" s="9" t="inlineStr"/>
    </row>
    <row r="155">
      <c r="A155" s="7" t="inlineStr">
        <is>
          <t>AP-31129</t>
        </is>
      </c>
      <c r="B155" s="23" t="n">
        <v>46249</v>
      </c>
      <c r="C155" s="7">
        <f>TEXT(B155,"yyyy-mm")</f>
        <v/>
      </c>
      <c r="D155" s="7" t="inlineStr">
        <is>
          <t>NLG-014</t>
        </is>
      </c>
      <c r="E155" s="9" t="inlineStr">
        <is>
          <t>Northlight Group</t>
        </is>
      </c>
      <c r="F155" s="9" t="inlineStr">
        <is>
          <t>Gulf Coast</t>
        </is>
      </c>
      <c r="G155" s="9" t="inlineStr">
        <is>
          <t>St. Petersburg</t>
        </is>
      </c>
      <c r="H155" s="9" t="inlineStr">
        <is>
          <t>Atlas Care Plus</t>
        </is>
      </c>
      <c r="I155" s="10" t="n">
        <v>2</v>
      </c>
      <c r="J155" s="16" t="n">
        <v>1788</v>
      </c>
      <c r="K155" s="18" t="n">
        <v>0.12</v>
      </c>
      <c r="L155" s="16">
        <f>I155*J155</f>
        <v/>
      </c>
      <c r="M155" s="16">
        <f>ROUND(L155*(1-K155),2)</f>
        <v/>
      </c>
      <c r="N155" s="16" t="n">
        <v>447</v>
      </c>
      <c r="O155" s="16">
        <f>I155*N155</f>
        <v/>
      </c>
      <c r="P155" s="18">
        <f>IFERROR((M155-O155)/M155,0)</f>
        <v/>
      </c>
      <c r="Q155" s="16" t="n">
        <v>0</v>
      </c>
      <c r="R155" s="9" t="inlineStr">
        <is>
          <t>Partner</t>
        </is>
      </c>
      <c r="S155" s="9" t="inlineStr">
        <is>
          <t>Jordan Vale</t>
        </is>
      </c>
      <c r="T155" s="9" t="inlineStr">
        <is>
          <t>Shipped</t>
        </is>
      </c>
      <c r="U155" s="10" t="n">
        <v>167</v>
      </c>
      <c r="V155" s="9" t="inlineStr">
        <is>
          <t>Ship with calibration cert</t>
        </is>
      </c>
    </row>
    <row r="156">
      <c r="A156" s="7" t="inlineStr">
        <is>
          <t>AP-31136</t>
        </is>
      </c>
      <c r="B156" s="23" t="n">
        <v>46220</v>
      </c>
      <c r="C156" s="7">
        <f>TEXT(B156,"yyyy-mm")</f>
        <v/>
      </c>
      <c r="D156" s="7" t="inlineStr">
        <is>
          <t>DIR-000</t>
        </is>
      </c>
      <c r="E156" s="9" t="inlineStr">
        <is>
          <t>Apex Instruments direct</t>
        </is>
      </c>
      <c r="F156" s="9" t="inlineStr">
        <is>
          <t>House</t>
        </is>
      </c>
      <c r="G156" s="9" t="inlineStr">
        <is>
          <t>Tampa</t>
        </is>
      </c>
      <c r="H156" s="9" t="inlineStr">
        <is>
          <t>Meridian Pro</t>
        </is>
      </c>
      <c r="I156" s="10" t="n">
        <v>1</v>
      </c>
      <c r="J156" s="16" t="n">
        <v>7900</v>
      </c>
      <c r="K156" s="18" t="n">
        <v>0.03</v>
      </c>
      <c r="L156" s="16">
        <f>I156*J156</f>
        <v/>
      </c>
      <c r="M156" s="16">
        <f>ROUND(L156*(1-K156),2)</f>
        <v/>
      </c>
      <c r="N156" s="16" t="n">
        <v>4345</v>
      </c>
      <c r="O156" s="16">
        <f>I156*N156</f>
        <v/>
      </c>
      <c r="P156" s="18">
        <f>IFERROR((M156-O156)/M156,0)</f>
        <v/>
      </c>
      <c r="Q156" s="16" t="n">
        <v>187.1</v>
      </c>
      <c r="R156" s="9" t="inlineStr">
        <is>
          <t>Direct</t>
        </is>
      </c>
      <c r="S156" s="9" t="inlineStr">
        <is>
          <t>Morgan Reyes</t>
        </is>
      </c>
      <c r="T156" s="9" t="inlineStr">
        <is>
          <t>Invoiced</t>
        </is>
      </c>
      <c r="U156" s="10" t="n">
        <v>168</v>
      </c>
      <c r="V156" s="9" t="inlineStr">
        <is>
          <t>PO on file</t>
        </is>
      </c>
    </row>
    <row r="157">
      <c r="A157" s="7" t="inlineStr">
        <is>
          <t>AP-31142</t>
        </is>
      </c>
      <c r="B157" s="23" t="n">
        <v>46249</v>
      </c>
      <c r="C157" s="7">
        <f>TEXT(B157,"yyyy-mm")</f>
        <v/>
      </c>
      <c r="D157" s="7" t="inlineStr">
        <is>
          <t>NLG-022</t>
        </is>
      </c>
      <c r="E157" s="9" t="inlineStr">
        <is>
          <t>Northlight Group</t>
        </is>
      </c>
      <c r="F157" s="9" t="inlineStr">
        <is>
          <t>Central Florida</t>
        </is>
      </c>
      <c r="G157" s="9" t="inlineStr">
        <is>
          <t>Orlando</t>
        </is>
      </c>
      <c r="H157" s="9" t="inlineStr">
        <is>
          <t>Calibration service</t>
        </is>
      </c>
      <c r="I157" s="10" t="n">
        <v>1</v>
      </c>
      <c r="J157" s="16" t="n">
        <v>180</v>
      </c>
      <c r="K157" s="18" t="n">
        <v>0.03</v>
      </c>
      <c r="L157" s="16">
        <f>I157*J157</f>
        <v/>
      </c>
      <c r="M157" s="16">
        <f>ROUND(L157*(1-K157),2)</f>
        <v/>
      </c>
      <c r="N157" s="16" t="n">
        <v>99</v>
      </c>
      <c r="O157" s="16">
        <f>I157*N157</f>
        <v/>
      </c>
      <c r="P157" s="18">
        <f>IFERROR((M157-O157)/M157,0)</f>
        <v/>
      </c>
      <c r="Q157" s="16" t="n">
        <v>0</v>
      </c>
      <c r="R157" s="9" t="inlineStr">
        <is>
          <t>Partner</t>
        </is>
      </c>
      <c r="S157" s="9" t="inlineStr">
        <is>
          <t>Avery Kellen</t>
        </is>
      </c>
      <c r="T157" s="9" t="inlineStr">
        <is>
          <t>Shipped</t>
        </is>
      </c>
      <c r="U157" s="10" t="n">
        <v>169</v>
      </c>
      <c r="V157" s="9" t="inlineStr">
        <is>
          <t>Renewal</t>
        </is>
      </c>
    </row>
    <row r="158">
      <c r="A158" s="7" t="inlineStr">
        <is>
          <t>AP-31152</t>
        </is>
      </c>
      <c r="B158" s="23" t="n">
        <v>46260</v>
      </c>
      <c r="C158" s="7">
        <f>TEXT(B158,"yyyy-mm")</f>
        <v/>
      </c>
      <c r="D158" s="7" t="inlineStr">
        <is>
          <t>DIR-000</t>
        </is>
      </c>
      <c r="E158" s="9" t="inlineStr">
        <is>
          <t>Apex Instruments direct</t>
        </is>
      </c>
      <c r="F158" s="9" t="inlineStr">
        <is>
          <t>House</t>
        </is>
      </c>
      <c r="G158" s="9" t="inlineStr">
        <is>
          <t>Tampa</t>
        </is>
      </c>
      <c r="H158" s="9" t="inlineStr">
        <is>
          <t>On-site training</t>
        </is>
      </c>
      <c r="I158" s="10" t="n">
        <v>1</v>
      </c>
      <c r="J158" s="16" t="n">
        <v>650</v>
      </c>
      <c r="K158" s="18" t="n">
        <v>0.05</v>
      </c>
      <c r="L158" s="16">
        <f>I158*J158</f>
        <v/>
      </c>
      <c r="M158" s="16">
        <f>ROUND(L158*(1-K158),2)</f>
        <v/>
      </c>
      <c r="N158" s="16" t="n">
        <v>429</v>
      </c>
      <c r="O158" s="16">
        <f>I158*N158</f>
        <v/>
      </c>
      <c r="P158" s="18">
        <f>IFERROR((M158-O158)/M158,0)</f>
        <v/>
      </c>
      <c r="Q158" s="16" t="n">
        <v>0</v>
      </c>
      <c r="R158" s="9" t="inlineStr">
        <is>
          <t>Direct</t>
        </is>
      </c>
      <c r="S158" s="9" t="inlineStr">
        <is>
          <t>Jordan Vale</t>
        </is>
      </c>
      <c r="T158" s="9" t="inlineStr">
        <is>
          <t>Invoiced</t>
        </is>
      </c>
      <c r="U158" s="10" t="n">
        <v>170</v>
      </c>
      <c r="V158" s="9" t="inlineStr">
        <is>
          <t>Split shipment</t>
        </is>
      </c>
    </row>
    <row r="159">
      <c r="A159" s="7" t="inlineStr">
        <is>
          <t>AP-31157</t>
        </is>
      </c>
      <c r="B159" s="23" t="n">
        <v>46242</v>
      </c>
      <c r="C159" s="7">
        <f>TEXT(B159,"yyyy-mm")</f>
        <v/>
      </c>
      <c r="D159" s="7" t="inlineStr">
        <is>
          <t>DIR-000</t>
        </is>
      </c>
      <c r="E159" s="9" t="inlineStr">
        <is>
          <t>Apex Instruments direct</t>
        </is>
      </c>
      <c r="F159" s="9" t="inlineStr">
        <is>
          <t>House</t>
        </is>
      </c>
      <c r="G159" s="9" t="inlineStr">
        <is>
          <t>Tampa</t>
        </is>
      </c>
      <c r="H159" s="9" t="inlineStr">
        <is>
          <t>Meridian Bench</t>
        </is>
      </c>
      <c r="I159" s="10" t="n">
        <v>1</v>
      </c>
      <c r="J159" s="16" t="n">
        <v>4850</v>
      </c>
      <c r="K159" s="18" t="n">
        <v>0.05</v>
      </c>
      <c r="L159" s="16">
        <f>I159*J159</f>
        <v/>
      </c>
      <c r="M159" s="16">
        <f>ROUND(L159*(1-K159),2)</f>
        <v/>
      </c>
      <c r="N159" s="16" t="n">
        <v>2910</v>
      </c>
      <c r="O159" s="16">
        <f>I159*N159</f>
        <v/>
      </c>
      <c r="P159" s="18">
        <f>IFERROR((M159-O159)/M159,0)</f>
        <v/>
      </c>
      <c r="Q159" s="16" t="n">
        <v>125.43</v>
      </c>
      <c r="R159" s="9" t="inlineStr">
        <is>
          <t>Direct</t>
        </is>
      </c>
      <c r="S159" s="9" t="inlineStr">
        <is>
          <t>Jordan Vale</t>
        </is>
      </c>
      <c r="T159" s="9" t="inlineStr">
        <is>
          <t>Shipped</t>
        </is>
      </c>
      <c r="U159" s="10" t="n">
        <v>171</v>
      </c>
      <c r="V159" s="9" t="inlineStr">
        <is>
          <t>Renewal</t>
        </is>
      </c>
    </row>
    <row r="160">
      <c r="A160" s="7" t="inlineStr">
        <is>
          <t>AP-31163</t>
        </is>
      </c>
      <c r="B160" s="23" t="n">
        <v>46205</v>
      </c>
      <c r="C160" s="7">
        <f>TEXT(B160,"yyyy-mm")</f>
        <v/>
      </c>
      <c r="D160" s="7" t="inlineStr">
        <is>
          <t>NLG-014</t>
        </is>
      </c>
      <c r="E160" s="9" t="inlineStr">
        <is>
          <t>Northlight Group</t>
        </is>
      </c>
      <c r="F160" s="9" t="inlineStr">
        <is>
          <t>Gulf Coast</t>
        </is>
      </c>
      <c r="G160" s="9" t="inlineStr">
        <is>
          <t>St. Petersburg</t>
        </is>
      </c>
      <c r="H160" s="9" t="inlineStr">
        <is>
          <t>Atlas Care Plus</t>
        </is>
      </c>
      <c r="I160" s="10" t="n">
        <v>9</v>
      </c>
      <c r="J160" s="16" t="n">
        <v>1788</v>
      </c>
      <c r="K160" s="18" t="n">
        <v>0</v>
      </c>
      <c r="L160" s="16">
        <f>I160*J160</f>
        <v/>
      </c>
      <c r="M160" s="16">
        <f>ROUND(L160*(1-K160),2)</f>
        <v/>
      </c>
      <c r="N160" s="16" t="n">
        <v>447</v>
      </c>
      <c r="O160" s="16">
        <f>I160*N160</f>
        <v/>
      </c>
      <c r="P160" s="18">
        <f>IFERROR((M160-O160)/M160,0)</f>
        <v/>
      </c>
      <c r="Q160" s="16" t="n">
        <v>0</v>
      </c>
      <c r="R160" s="9" t="inlineStr">
        <is>
          <t>Partner</t>
        </is>
      </c>
      <c r="S160" s="9" t="inlineStr">
        <is>
          <t>Morgan Reyes</t>
        </is>
      </c>
      <c r="T160" s="9" t="inlineStr">
        <is>
          <t>Shipped</t>
        </is>
      </c>
      <c r="U160" s="10" t="n">
        <v>172</v>
      </c>
      <c r="V160" s="9" t="inlineStr">
        <is>
          <t>PO on file</t>
        </is>
      </c>
    </row>
    <row r="161">
      <c r="A161" s="7" t="inlineStr">
        <is>
          <t>AP-31169</t>
        </is>
      </c>
      <c r="B161" s="23" t="n">
        <v>46278</v>
      </c>
      <c r="C161" s="7">
        <f>TEXT(B161,"yyyy-mm")</f>
        <v/>
      </c>
      <c r="D161" s="7" t="inlineStr">
        <is>
          <t>NLG-022</t>
        </is>
      </c>
      <c r="E161" s="9" t="inlineStr">
        <is>
          <t>Northlight Group</t>
        </is>
      </c>
      <c r="F161" s="9" t="inlineStr">
        <is>
          <t>Central Florida</t>
        </is>
      </c>
      <c r="G161" s="9" t="inlineStr">
        <is>
          <t>Orlando</t>
        </is>
      </c>
      <c r="H161" s="9" t="inlineStr">
        <is>
          <t>On-site training</t>
        </is>
      </c>
      <c r="I161" s="10" t="n">
        <v>1</v>
      </c>
      <c r="J161" s="16" t="n">
        <v>650</v>
      </c>
      <c r="K161" s="18" t="n">
        <v>0.05</v>
      </c>
      <c r="L161" s="16">
        <f>I161*J161</f>
        <v/>
      </c>
      <c r="M161" s="16">
        <f>ROUND(L161*(1-K161),2)</f>
        <v/>
      </c>
      <c r="N161" s="16" t="n">
        <v>429</v>
      </c>
      <c r="O161" s="16">
        <f>I161*N161</f>
        <v/>
      </c>
      <c r="P161" s="18">
        <f>IFERROR((M161-O161)/M161,0)</f>
        <v/>
      </c>
      <c r="Q161" s="16" t="n">
        <v>0</v>
      </c>
      <c r="R161" s="9" t="inlineStr">
        <is>
          <t>Partner</t>
        </is>
      </c>
      <c r="S161" s="9" t="inlineStr">
        <is>
          <t>Jordan Vale</t>
        </is>
      </c>
      <c r="T161" s="9" t="inlineStr">
        <is>
          <t>Open</t>
        </is>
      </c>
      <c r="U161" s="10" t="n">
        <v>173</v>
      </c>
      <c r="V161" s="9" t="inlineStr"/>
    </row>
    <row r="162">
      <c r="A162" s="7" t="inlineStr">
        <is>
          <t>AP-31180</t>
        </is>
      </c>
      <c r="B162" s="23" t="n">
        <v>46240</v>
      </c>
      <c r="C162" s="7">
        <f>TEXT(B162,"yyyy-mm")</f>
        <v/>
      </c>
      <c r="D162" s="7" t="inlineStr">
        <is>
          <t>NLG-036</t>
        </is>
      </c>
      <c r="E162" s="9" t="inlineStr">
        <is>
          <t>Northlight Group</t>
        </is>
      </c>
      <c r="F162" s="9" t="inlineStr">
        <is>
          <t>Gulf Coast</t>
        </is>
      </c>
      <c r="G162" s="9" t="inlineStr">
        <is>
          <t>Clearwater</t>
        </is>
      </c>
      <c r="H162" s="9" t="inlineStr">
        <is>
          <t>Meridian Bench</t>
        </is>
      </c>
      <c r="I162" s="10" t="n">
        <v>3</v>
      </c>
      <c r="J162" s="16" t="n">
        <v>4850</v>
      </c>
      <c r="K162" s="18" t="n">
        <v>0</v>
      </c>
      <c r="L162" s="16">
        <f>I162*J162</f>
        <v/>
      </c>
      <c r="M162" s="16">
        <f>ROUND(L162*(1-K162),2)</f>
        <v/>
      </c>
      <c r="N162" s="16" t="n">
        <v>2910</v>
      </c>
      <c r="O162" s="16">
        <f>I162*N162</f>
        <v/>
      </c>
      <c r="P162" s="18">
        <f>IFERROR((M162-O162)/M162,0)</f>
        <v/>
      </c>
      <c r="Q162" s="16" t="n">
        <v>70.63</v>
      </c>
      <c r="R162" s="9" t="inlineStr">
        <is>
          <t>Partner</t>
        </is>
      </c>
      <c r="S162" s="9" t="inlineStr">
        <is>
          <t>Jordan Vale</t>
        </is>
      </c>
      <c r="T162" s="9" t="inlineStr">
        <is>
          <t>Invoiced</t>
        </is>
      </c>
      <c r="U162" s="10" t="n">
        <v>174</v>
      </c>
      <c r="V162" s="9" t="inlineStr"/>
    </row>
    <row r="163">
      <c r="A163" s="7" t="inlineStr">
        <is>
          <t>AP-31187</t>
        </is>
      </c>
      <c r="B163" s="23" t="n">
        <v>46284</v>
      </c>
      <c r="C163" s="7">
        <f>TEXT(B163,"yyyy-mm")</f>
        <v/>
      </c>
      <c r="D163" s="7" t="inlineStr">
        <is>
          <t>NLG-031</t>
        </is>
      </c>
      <c r="E163" s="9" t="inlineStr">
        <is>
          <t>Northlight Group</t>
        </is>
      </c>
      <c r="F163" s="9" t="inlineStr">
        <is>
          <t>Gulf Coast</t>
        </is>
      </c>
      <c r="G163" s="9" t="inlineStr">
        <is>
          <t>Sarasota</t>
        </is>
      </c>
      <c r="H163" s="9" t="inlineStr">
        <is>
          <t>Atlas Care Plus</t>
        </is>
      </c>
      <c r="I163" s="10" t="n">
        <v>2</v>
      </c>
      <c r="J163" s="16" t="n">
        <v>1788</v>
      </c>
      <c r="K163" s="18" t="n">
        <v>0.03</v>
      </c>
      <c r="L163" s="16">
        <f>I163*J163</f>
        <v/>
      </c>
      <c r="M163" s="16">
        <f>ROUND(L163*(1-K163),2)</f>
        <v/>
      </c>
      <c r="N163" s="16" t="n">
        <v>447</v>
      </c>
      <c r="O163" s="16">
        <f>I163*N163</f>
        <v/>
      </c>
      <c r="P163" s="18">
        <f>IFERROR((M163-O163)/M163,0)</f>
        <v/>
      </c>
      <c r="Q163" s="16" t="n">
        <v>0</v>
      </c>
      <c r="R163" s="9" t="inlineStr">
        <is>
          <t>Partner</t>
        </is>
      </c>
      <c r="S163" s="9" t="inlineStr">
        <is>
          <t>Avery Kellen</t>
        </is>
      </c>
      <c r="T163" s="9" t="inlineStr">
        <is>
          <t>Invoiced</t>
        </is>
      </c>
      <c r="U163" s="10" t="n">
        <v>175</v>
      </c>
      <c r="V163" s="9" t="inlineStr">
        <is>
          <t>Split shipment</t>
        </is>
      </c>
    </row>
    <row r="164">
      <c r="A164" s="7" t="inlineStr">
        <is>
          <t>AP-31192</t>
        </is>
      </c>
      <c r="B164" s="23" t="n">
        <v>46255</v>
      </c>
      <c r="C164" s="7">
        <f>TEXT(B164,"yyyy-mm")</f>
        <v/>
      </c>
      <c r="D164" s="7" t="inlineStr">
        <is>
          <t>NLG-044</t>
        </is>
      </c>
      <c r="E164" s="9" t="inlineStr">
        <is>
          <t>Northlight Group</t>
        </is>
      </c>
      <c r="F164" s="9" t="inlineStr">
        <is>
          <t>Central Florida</t>
        </is>
      </c>
      <c r="G164" s="9" t="inlineStr">
        <is>
          <t>Brandon</t>
        </is>
      </c>
      <c r="H164" s="9" t="inlineStr">
        <is>
          <t>Meridian Pro</t>
        </is>
      </c>
      <c r="I164" s="10" t="n">
        <v>2</v>
      </c>
      <c r="J164" s="16" t="n">
        <v>7900</v>
      </c>
      <c r="K164" s="18" t="n">
        <v>0.03</v>
      </c>
      <c r="L164" s="16">
        <f>I164*J164</f>
        <v/>
      </c>
      <c r="M164" s="16">
        <f>ROUND(L164*(1-K164),2)</f>
        <v/>
      </c>
      <c r="N164" s="16" t="n">
        <v>4345</v>
      </c>
      <c r="O164" s="16">
        <f>I164*N164</f>
        <v/>
      </c>
      <c r="P164" s="18">
        <f>IFERROR((M164-O164)/M164,0)</f>
        <v/>
      </c>
      <c r="Q164" s="16" t="n">
        <v>54.69</v>
      </c>
      <c r="R164" s="9" t="inlineStr">
        <is>
          <t>Partner</t>
        </is>
      </c>
      <c r="S164" s="9" t="inlineStr">
        <is>
          <t>Morgan Reyes</t>
        </is>
      </c>
      <c r="T164" s="9" t="inlineStr">
        <is>
          <t>Shipped</t>
        </is>
      </c>
      <c r="U164" s="10" t="n">
        <v>176</v>
      </c>
      <c r="V164" s="9" t="inlineStr">
        <is>
          <t>Replaces damaged unit</t>
        </is>
      </c>
    </row>
    <row r="165">
      <c r="A165" s="7" t="inlineStr">
        <is>
          <t>AP-31198</t>
        </is>
      </c>
      <c r="B165" s="23" t="n">
        <v>46274</v>
      </c>
      <c r="C165" s="7">
        <f>TEXT(B165,"yyyy-mm")</f>
        <v/>
      </c>
      <c r="D165" s="7" t="inlineStr">
        <is>
          <t>DIR-000</t>
        </is>
      </c>
      <c r="E165" s="9" t="inlineStr">
        <is>
          <t>Apex Instruments direct</t>
        </is>
      </c>
      <c r="F165" s="9" t="inlineStr">
        <is>
          <t>House</t>
        </is>
      </c>
      <c r="G165" s="9" t="inlineStr">
        <is>
          <t>Tampa</t>
        </is>
      </c>
      <c r="H165" s="9" t="inlineStr">
        <is>
          <t>Meridian Pro</t>
        </is>
      </c>
      <c r="I165" s="10" t="n">
        <v>1</v>
      </c>
      <c r="J165" s="16" t="n">
        <v>7900</v>
      </c>
      <c r="K165" s="18" t="n">
        <v>0.08</v>
      </c>
      <c r="L165" s="16">
        <f>I165*J165</f>
        <v/>
      </c>
      <c r="M165" s="16">
        <f>ROUND(L165*(1-K165),2)</f>
        <v/>
      </c>
      <c r="N165" s="16" t="n">
        <v>4345</v>
      </c>
      <c r="O165" s="16">
        <f>I165*N165</f>
        <v/>
      </c>
      <c r="P165" s="18">
        <f>IFERROR((M165-O165)/M165,0)</f>
        <v/>
      </c>
      <c r="Q165" s="16" t="n">
        <v>116.89</v>
      </c>
      <c r="R165" s="9" t="inlineStr">
        <is>
          <t>Direct</t>
        </is>
      </c>
      <c r="S165" s="9" t="inlineStr">
        <is>
          <t>Sami Torres</t>
        </is>
      </c>
      <c r="T165" s="9" t="inlineStr">
        <is>
          <t>Shipped</t>
        </is>
      </c>
      <c r="U165" s="10" t="n">
        <v>177</v>
      </c>
      <c r="V165" s="9" t="inlineStr">
        <is>
          <t>Replaces damaged unit</t>
        </is>
      </c>
    </row>
    <row r="166">
      <c r="A166" s="7" t="inlineStr">
        <is>
          <t>AP-31207</t>
        </is>
      </c>
      <c r="B166" s="23" t="n">
        <v>46291</v>
      </c>
      <c r="C166" s="7">
        <f>TEXT(B166,"yyyy-mm")</f>
        <v/>
      </c>
      <c r="D166" s="7" t="inlineStr">
        <is>
          <t>NLG-022</t>
        </is>
      </c>
      <c r="E166" s="9" t="inlineStr">
        <is>
          <t>Northlight Group</t>
        </is>
      </c>
      <c r="F166" s="9" t="inlineStr">
        <is>
          <t>Central Florida</t>
        </is>
      </c>
      <c r="G166" s="9" t="inlineStr">
        <is>
          <t>Orlando</t>
        </is>
      </c>
      <c r="H166" s="9" t="inlineStr">
        <is>
          <t>Meridian Bench</t>
        </is>
      </c>
      <c r="I166" s="10" t="n">
        <v>3</v>
      </c>
      <c r="J166" s="16" t="n">
        <v>4850</v>
      </c>
      <c r="K166" s="18" t="n">
        <v>0</v>
      </c>
      <c r="L166" s="16">
        <f>I166*J166</f>
        <v/>
      </c>
      <c r="M166" s="16">
        <f>ROUND(L166*(1-K166),2)</f>
        <v/>
      </c>
      <c r="N166" s="16" t="n">
        <v>2910</v>
      </c>
      <c r="O166" s="16">
        <f>I166*N166</f>
        <v/>
      </c>
      <c r="P166" s="18">
        <f>IFERROR((M166-O166)/M166,0)</f>
        <v/>
      </c>
      <c r="Q166" s="16" t="n">
        <v>35.76</v>
      </c>
      <c r="R166" s="9" t="inlineStr">
        <is>
          <t>Partner</t>
        </is>
      </c>
      <c r="S166" s="9" t="inlineStr">
        <is>
          <t>Morgan Reyes</t>
        </is>
      </c>
      <c r="T166" s="9" t="inlineStr">
        <is>
          <t>Invoiced</t>
        </is>
      </c>
      <c r="U166" s="10" t="n">
        <v>178</v>
      </c>
      <c r="V166" s="9" t="inlineStr"/>
    </row>
    <row r="167">
      <c r="A167" s="7" t="inlineStr">
        <is>
          <t>AP-31215</t>
        </is>
      </c>
      <c r="B167" s="23" t="n">
        <v>46283</v>
      </c>
      <c r="C167" s="7">
        <f>TEXT(B167,"yyyy-mm")</f>
        <v/>
      </c>
      <c r="D167" s="7" t="inlineStr">
        <is>
          <t>NLG-011</t>
        </is>
      </c>
      <c r="E167" s="9" t="inlineStr">
        <is>
          <t>Northlight Group</t>
        </is>
      </c>
      <c r="F167" s="9" t="inlineStr">
        <is>
          <t>Gulf Coast</t>
        </is>
      </c>
      <c r="G167" s="9" t="inlineStr">
        <is>
          <t>Tampa</t>
        </is>
      </c>
      <c r="H167" s="9" t="inlineStr">
        <is>
          <t>Meridian Bench</t>
        </is>
      </c>
      <c r="I167" s="10" t="n">
        <v>3</v>
      </c>
      <c r="J167" s="16" t="n">
        <v>4850</v>
      </c>
      <c r="K167" s="18" t="n">
        <v>0.08</v>
      </c>
      <c r="L167" s="16">
        <f>I167*J167</f>
        <v/>
      </c>
      <c r="M167" s="16">
        <f>ROUND(L167*(1-K167),2)</f>
        <v/>
      </c>
      <c r="N167" s="16" t="n">
        <v>2910</v>
      </c>
      <c r="O167" s="16">
        <f>I167*N167</f>
        <v/>
      </c>
      <c r="P167" s="18">
        <f>IFERROR((M167-O167)/M167,0)</f>
        <v/>
      </c>
      <c r="Q167" s="16" t="n">
        <v>49.63</v>
      </c>
      <c r="R167" s="9" t="inlineStr">
        <is>
          <t>Partner</t>
        </is>
      </c>
      <c r="S167" s="9" t="inlineStr">
        <is>
          <t>Morgan Reyes</t>
        </is>
      </c>
      <c r="T167" s="9" t="inlineStr">
        <is>
          <t>Shipped</t>
        </is>
      </c>
      <c r="U167" s="10" t="n">
        <v>179</v>
      </c>
      <c r="V167" s="9" t="inlineStr">
        <is>
          <t>Renewal</t>
        </is>
      </c>
    </row>
    <row r="168">
      <c r="A168" s="7" t="inlineStr">
        <is>
          <t>AP-31225</t>
        </is>
      </c>
      <c r="B168" s="23" t="n">
        <v>46266</v>
      </c>
      <c r="C168" s="7">
        <f>TEXT(B168,"yyyy-mm")</f>
        <v/>
      </c>
      <c r="D168" s="7" t="inlineStr">
        <is>
          <t>NLG-036</t>
        </is>
      </c>
      <c r="E168" s="9" t="inlineStr">
        <is>
          <t>Northlight Group</t>
        </is>
      </c>
      <c r="F168" s="9" t="inlineStr">
        <is>
          <t>Gulf Coast</t>
        </is>
      </c>
      <c r="G168" s="9" t="inlineStr">
        <is>
          <t>Clearwater</t>
        </is>
      </c>
      <c r="H168" s="9" t="inlineStr">
        <is>
          <t>Atlas Care Plus</t>
        </is>
      </c>
      <c r="I168" s="10" t="n">
        <v>9</v>
      </c>
      <c r="J168" s="16" t="n">
        <v>1788</v>
      </c>
      <c r="K168" s="18" t="n">
        <v>0.05</v>
      </c>
      <c r="L168" s="16">
        <f>I168*J168</f>
        <v/>
      </c>
      <c r="M168" s="16">
        <f>ROUND(L168*(1-K168),2)</f>
        <v/>
      </c>
      <c r="N168" s="16" t="n">
        <v>447</v>
      </c>
      <c r="O168" s="16">
        <f>I168*N168</f>
        <v/>
      </c>
      <c r="P168" s="18">
        <f>IFERROR((M168-O168)/M168,0)</f>
        <v/>
      </c>
      <c r="Q168" s="16" t="n">
        <v>0</v>
      </c>
      <c r="R168" s="9" t="inlineStr">
        <is>
          <t>Partner</t>
        </is>
      </c>
      <c r="S168" s="9" t="inlineStr">
        <is>
          <t>Morgan Reyes</t>
        </is>
      </c>
      <c r="T168" s="9" t="inlineStr">
        <is>
          <t>Invoiced</t>
        </is>
      </c>
      <c r="U168" s="10" t="n">
        <v>181</v>
      </c>
      <c r="V168" s="9" t="inlineStr">
        <is>
          <t>Rush requested</t>
        </is>
      </c>
    </row>
    <row r="169">
      <c r="A169" s="7" t="inlineStr">
        <is>
          <t>AP-31232</t>
        </is>
      </c>
      <c r="B169" s="23" t="n">
        <v>46251</v>
      </c>
      <c r="C169" s="7">
        <f>TEXT(B169,"yyyy-mm")</f>
        <v/>
      </c>
      <c r="D169" s="7" t="inlineStr">
        <is>
          <t>NLG-044</t>
        </is>
      </c>
      <c r="E169" s="9" t="inlineStr">
        <is>
          <t>Northlight Group</t>
        </is>
      </c>
      <c r="F169" s="9" t="inlineStr">
        <is>
          <t>Central Florida</t>
        </is>
      </c>
      <c r="G169" s="9" t="inlineStr">
        <is>
          <t>Brandon</t>
        </is>
      </c>
      <c r="H169" s="9" t="inlineStr">
        <is>
          <t>Calibration service</t>
        </is>
      </c>
      <c r="I169" s="10" t="n">
        <v>2</v>
      </c>
      <c r="J169" s="16" t="n">
        <v>180</v>
      </c>
      <c r="K169" s="18" t="n">
        <v>0</v>
      </c>
      <c r="L169" s="16">
        <f>I169*J169</f>
        <v/>
      </c>
      <c r="M169" s="16">
        <f>ROUND(L169*(1-K169),2)</f>
        <v/>
      </c>
      <c r="N169" s="16" t="n">
        <v>99</v>
      </c>
      <c r="O169" s="16">
        <f>I169*N169</f>
        <v/>
      </c>
      <c r="P169" s="18">
        <f>IFERROR((M169-O169)/M169,0)</f>
        <v/>
      </c>
      <c r="Q169" s="16" t="n">
        <v>0</v>
      </c>
      <c r="R169" s="9" t="inlineStr">
        <is>
          <t>Partner</t>
        </is>
      </c>
      <c r="S169" s="9" t="inlineStr">
        <is>
          <t>Sami Torres</t>
        </is>
      </c>
      <c r="T169" s="9" t="inlineStr">
        <is>
          <t>Invoiced</t>
        </is>
      </c>
      <c r="U169" s="10" t="n">
        <v>182</v>
      </c>
      <c r="V169" s="9" t="inlineStr"/>
    </row>
    <row r="170">
      <c r="A170" s="7" t="inlineStr">
        <is>
          <t>AP-31239</t>
        </is>
      </c>
      <c r="B170" s="23" t="n">
        <v>46205</v>
      </c>
      <c r="C170" s="7">
        <f>TEXT(B170,"yyyy-mm")</f>
        <v/>
      </c>
      <c r="D170" s="7" t="inlineStr">
        <is>
          <t>NLG-022</t>
        </is>
      </c>
      <c r="E170" s="9" t="inlineStr">
        <is>
          <t>Northlight Group</t>
        </is>
      </c>
      <c r="F170" s="9" t="inlineStr">
        <is>
          <t>Central Florida</t>
        </is>
      </c>
      <c r="G170" s="9" t="inlineStr">
        <is>
          <t>Orlando</t>
        </is>
      </c>
      <c r="H170" s="9" t="inlineStr">
        <is>
          <t>On-site training</t>
        </is>
      </c>
      <c r="I170" s="10" t="n">
        <v>2</v>
      </c>
      <c r="J170" s="16" t="n">
        <v>650</v>
      </c>
      <c r="K170" s="18" t="n">
        <v>0</v>
      </c>
      <c r="L170" s="16">
        <f>I170*J170</f>
        <v/>
      </c>
      <c r="M170" s="16">
        <f>ROUND(L170*(1-K170),2)</f>
        <v/>
      </c>
      <c r="N170" s="16" t="n">
        <v>429</v>
      </c>
      <c r="O170" s="16">
        <f>I170*N170</f>
        <v/>
      </c>
      <c r="P170" s="18">
        <f>IFERROR((M170-O170)/M170,0)</f>
        <v/>
      </c>
      <c r="Q170" s="16" t="n">
        <v>0</v>
      </c>
      <c r="R170" s="9" t="inlineStr">
        <is>
          <t>Partner</t>
        </is>
      </c>
      <c r="S170" s="9" t="inlineStr">
        <is>
          <t>Morgan Reyes</t>
        </is>
      </c>
      <c r="T170" s="9" t="inlineStr">
        <is>
          <t>Shipped</t>
        </is>
      </c>
      <c r="U170" s="10" t="n">
        <v>183</v>
      </c>
      <c r="V170" s="9" t="inlineStr"/>
    </row>
    <row r="171">
      <c r="A171" s="7" t="inlineStr">
        <is>
          <t>AP-31246</t>
        </is>
      </c>
      <c r="B171" s="23" t="n">
        <v>46283</v>
      </c>
      <c r="C171" s="7">
        <f>TEXT(B171,"yyyy-mm")</f>
        <v/>
      </c>
      <c r="D171" s="7" t="inlineStr">
        <is>
          <t>NLG-011</t>
        </is>
      </c>
      <c r="E171" s="9" t="inlineStr">
        <is>
          <t>Northlight Group</t>
        </is>
      </c>
      <c r="F171" s="9" t="inlineStr">
        <is>
          <t>Gulf Coast</t>
        </is>
      </c>
      <c r="G171" s="9" t="inlineStr">
        <is>
          <t>Tampa</t>
        </is>
      </c>
      <c r="H171" s="9" t="inlineStr">
        <is>
          <t>Meridian Pro</t>
        </is>
      </c>
      <c r="I171" s="10" t="n">
        <v>1</v>
      </c>
      <c r="J171" s="16" t="n">
        <v>7900</v>
      </c>
      <c r="K171" s="18" t="n">
        <v>0</v>
      </c>
      <c r="L171" s="16">
        <f>I171*J171</f>
        <v/>
      </c>
      <c r="M171" s="16">
        <f>ROUND(L171*(1-K171),2)</f>
        <v/>
      </c>
      <c r="N171" s="16" t="n">
        <v>4345</v>
      </c>
      <c r="O171" s="16">
        <f>I171*N171</f>
        <v/>
      </c>
      <c r="P171" s="18">
        <f>IFERROR((M171-O171)/M171,0)</f>
        <v/>
      </c>
      <c r="Q171" s="16" t="n">
        <v>36</v>
      </c>
      <c r="R171" s="9" t="inlineStr">
        <is>
          <t>Partner</t>
        </is>
      </c>
      <c r="S171" s="9" t="inlineStr">
        <is>
          <t>Sami Torres</t>
        </is>
      </c>
      <c r="T171" s="9" t="inlineStr">
        <is>
          <t>Shipped</t>
        </is>
      </c>
      <c r="U171" s="10" t="n">
        <v>184</v>
      </c>
      <c r="V171" s="9" t="inlineStr">
        <is>
          <t>Renewal</t>
        </is>
      </c>
    </row>
    <row r="172">
      <c r="A172" s="7" t="inlineStr">
        <is>
          <t>AP-31257</t>
        </is>
      </c>
      <c r="B172" s="23" t="n">
        <v>46273</v>
      </c>
      <c r="C172" s="7">
        <f>TEXT(B172,"yyyy-mm")</f>
        <v/>
      </c>
      <c r="D172" s="7" t="inlineStr">
        <is>
          <t>NLG-027</t>
        </is>
      </c>
      <c r="E172" s="9" t="inlineStr">
        <is>
          <t>Northlight Group</t>
        </is>
      </c>
      <c r="F172" s="9" t="inlineStr">
        <is>
          <t>Central Florida</t>
        </is>
      </c>
      <c r="G172" s="9" t="inlineStr">
        <is>
          <t>Lakeland</t>
        </is>
      </c>
      <c r="H172" s="9" t="inlineStr">
        <is>
          <t>Meridian Pro</t>
        </is>
      </c>
      <c r="I172" s="10" t="n">
        <v>2</v>
      </c>
      <c r="J172" s="16" t="n">
        <v>7900</v>
      </c>
      <c r="K172" s="18" t="n">
        <v>0.05</v>
      </c>
      <c r="L172" s="16">
        <f>I172*J172</f>
        <v/>
      </c>
      <c r="M172" s="16">
        <f>ROUND(L172*(1-K172),2)</f>
        <v/>
      </c>
      <c r="N172" s="16" t="n">
        <v>4345</v>
      </c>
      <c r="O172" s="16">
        <f>I172*N172</f>
        <v/>
      </c>
      <c r="P172" s="18">
        <f>IFERROR((M172-O172)/M172,0)</f>
        <v/>
      </c>
      <c r="Q172" s="16" t="n">
        <v>159.32</v>
      </c>
      <c r="R172" s="9" t="inlineStr">
        <is>
          <t>Partner</t>
        </is>
      </c>
      <c r="S172" s="9" t="inlineStr">
        <is>
          <t>Morgan Reyes</t>
        </is>
      </c>
      <c r="T172" s="9" t="inlineStr">
        <is>
          <t>Shipped</t>
        </is>
      </c>
      <c r="U172" s="10" t="n">
        <v>185</v>
      </c>
      <c r="V172" s="9" t="inlineStr"/>
    </row>
    <row r="173">
      <c r="A173" s="7" t="inlineStr">
        <is>
          <t>AP-31261</t>
        </is>
      </c>
      <c r="B173" s="23" t="n">
        <v>46209</v>
      </c>
      <c r="C173" s="7">
        <f>TEXT(B173,"yyyy-mm")</f>
        <v/>
      </c>
      <c r="D173" s="7" t="inlineStr">
        <is>
          <t>NLG-014</t>
        </is>
      </c>
      <c r="E173" s="9" t="inlineStr">
        <is>
          <t>Northlight Group</t>
        </is>
      </c>
      <c r="F173" s="9" t="inlineStr">
        <is>
          <t>Gulf Coast</t>
        </is>
      </c>
      <c r="G173" s="9" t="inlineStr">
        <is>
          <t>St. Petersburg</t>
        </is>
      </c>
      <c r="H173" s="9" t="inlineStr">
        <is>
          <t>Meridian Bench</t>
        </is>
      </c>
      <c r="I173" s="10" t="n">
        <v>1</v>
      </c>
      <c r="J173" s="16" t="n">
        <v>4850</v>
      </c>
      <c r="K173" s="18" t="n">
        <v>0.05</v>
      </c>
      <c r="L173" s="16">
        <f>I173*J173</f>
        <v/>
      </c>
      <c r="M173" s="16">
        <f>ROUND(L173*(1-K173),2)</f>
        <v/>
      </c>
      <c r="N173" s="16" t="n">
        <v>2910</v>
      </c>
      <c r="O173" s="16">
        <f>I173*N173</f>
        <v/>
      </c>
      <c r="P173" s="18">
        <f>IFERROR((M173-O173)/M173,0)</f>
        <v/>
      </c>
      <c r="Q173" s="16" t="n">
        <v>54.71</v>
      </c>
      <c r="R173" s="9" t="inlineStr">
        <is>
          <t>Partner</t>
        </is>
      </c>
      <c r="S173" s="9" t="inlineStr">
        <is>
          <t>Avery Kellen</t>
        </is>
      </c>
      <c r="T173" s="9" t="inlineStr">
        <is>
          <t>Shipped</t>
        </is>
      </c>
      <c r="U173" s="10" t="n">
        <v>186</v>
      </c>
      <c r="V173" s="9" t="inlineStr">
        <is>
          <t>Backorder cleared</t>
        </is>
      </c>
    </row>
    <row r="174">
      <c r="A174" s="7" t="inlineStr">
        <is>
          <t>AP-31271</t>
        </is>
      </c>
      <c r="B174" s="23" t="n">
        <v>46222</v>
      </c>
      <c r="C174" s="7">
        <f>TEXT(B174,"yyyy-mm")</f>
        <v/>
      </c>
      <c r="D174" s="7" t="inlineStr">
        <is>
          <t>NLG-031</t>
        </is>
      </c>
      <c r="E174" s="9" t="inlineStr">
        <is>
          <t>Northlight Group</t>
        </is>
      </c>
      <c r="F174" s="9" t="inlineStr">
        <is>
          <t>Gulf Coast</t>
        </is>
      </c>
      <c r="G174" s="9" t="inlineStr">
        <is>
          <t>Sarasota</t>
        </is>
      </c>
      <c r="H174" s="9" t="inlineStr">
        <is>
          <t>Calibration service</t>
        </is>
      </c>
      <c r="I174" s="10" t="n">
        <v>3</v>
      </c>
      <c r="J174" s="16" t="n">
        <v>180</v>
      </c>
      <c r="K174" s="18" t="n">
        <v>0</v>
      </c>
      <c r="L174" s="16">
        <f>I174*J174</f>
        <v/>
      </c>
      <c r="M174" s="16">
        <f>ROUND(L174*(1-K174),2)</f>
        <v/>
      </c>
      <c r="N174" s="16" t="n">
        <v>99</v>
      </c>
      <c r="O174" s="16">
        <f>I174*N174</f>
        <v/>
      </c>
      <c r="P174" s="18">
        <f>IFERROR((M174-O174)/M174,0)</f>
        <v/>
      </c>
      <c r="Q174" s="16" t="n">
        <v>0</v>
      </c>
      <c r="R174" s="9" t="inlineStr">
        <is>
          <t>Partner</t>
        </is>
      </c>
      <c r="S174" s="9" t="inlineStr">
        <is>
          <t>Sami Torres</t>
        </is>
      </c>
      <c r="T174" s="9" t="inlineStr">
        <is>
          <t>Invoiced</t>
        </is>
      </c>
      <c r="U174" s="10" t="n">
        <v>187</v>
      </c>
      <c r="V174" s="9" t="inlineStr">
        <is>
          <t>Rush requested</t>
        </is>
      </c>
    </row>
    <row r="175">
      <c r="A175" s="7" t="inlineStr">
        <is>
          <t>AP-31278</t>
        </is>
      </c>
      <c r="B175" s="23" t="n">
        <v>46205</v>
      </c>
      <c r="C175" s="7">
        <f>TEXT(B175,"yyyy-mm")</f>
        <v/>
      </c>
      <c r="D175" s="7" t="inlineStr">
        <is>
          <t>NLG-044</t>
        </is>
      </c>
      <c r="E175" s="9" t="inlineStr">
        <is>
          <t>Northlight Group</t>
        </is>
      </c>
      <c r="F175" s="9" t="inlineStr">
        <is>
          <t>Central Florida</t>
        </is>
      </c>
      <c r="G175" s="9" t="inlineStr">
        <is>
          <t>Brandon</t>
        </is>
      </c>
      <c r="H175" s="9" t="inlineStr">
        <is>
          <t>Meridian Bench</t>
        </is>
      </c>
      <c r="I175" s="10" t="n">
        <v>3</v>
      </c>
      <c r="J175" s="16" t="n">
        <v>4850</v>
      </c>
      <c r="K175" s="18" t="n">
        <v>0.12</v>
      </c>
      <c r="L175" s="16">
        <f>I175*J175</f>
        <v/>
      </c>
      <c r="M175" s="16">
        <f>ROUND(L175*(1-K175),2)</f>
        <v/>
      </c>
      <c r="N175" s="16" t="n">
        <v>2910</v>
      </c>
      <c r="O175" s="16">
        <f>I175*N175</f>
        <v/>
      </c>
      <c r="P175" s="18">
        <f>IFERROR((M175-O175)/M175,0)</f>
        <v/>
      </c>
      <c r="Q175" s="16" t="n">
        <v>174.82</v>
      </c>
      <c r="R175" s="9" t="inlineStr">
        <is>
          <t>Partner</t>
        </is>
      </c>
      <c r="S175" s="9" t="inlineStr">
        <is>
          <t>Morgan Reyes</t>
        </is>
      </c>
      <c r="T175" s="9" t="inlineStr">
        <is>
          <t>Shipped</t>
        </is>
      </c>
      <c r="U175" s="10" t="n">
        <v>188</v>
      </c>
      <c r="V175" s="9" t="inlineStr">
        <is>
          <t>Renewal</t>
        </is>
      </c>
    </row>
    <row r="176">
      <c r="A176" s="7" t="inlineStr">
        <is>
          <t>AP-31282</t>
        </is>
      </c>
      <c r="B176" s="23" t="n">
        <v>46255</v>
      </c>
      <c r="C176" s="7">
        <f>TEXT(B176,"yyyy-mm")</f>
        <v/>
      </c>
      <c r="D176" s="7" t="inlineStr">
        <is>
          <t>DIR-000</t>
        </is>
      </c>
      <c r="E176" s="9" t="inlineStr">
        <is>
          <t>Apex Instruments direct</t>
        </is>
      </c>
      <c r="F176" s="9" t="inlineStr">
        <is>
          <t>House</t>
        </is>
      </c>
      <c r="G176" s="9" t="inlineStr">
        <is>
          <t>Tampa</t>
        </is>
      </c>
      <c r="H176" s="9" t="inlineStr">
        <is>
          <t>Atlas Care Plus</t>
        </is>
      </c>
      <c r="I176" s="10" t="n">
        <v>11</v>
      </c>
      <c r="J176" s="16" t="n">
        <v>1788</v>
      </c>
      <c r="K176" s="18" t="n">
        <v>0.1</v>
      </c>
      <c r="L176" s="16">
        <f>I176*J176</f>
        <v/>
      </c>
      <c r="M176" s="16">
        <f>ROUND(L176*(1-K176),2)</f>
        <v/>
      </c>
      <c r="N176" s="16" t="n">
        <v>447</v>
      </c>
      <c r="O176" s="16">
        <f>I176*N176</f>
        <v/>
      </c>
      <c r="P176" s="18">
        <f>IFERROR((M176-O176)/M176,0)</f>
        <v/>
      </c>
      <c r="Q176" s="16" t="n">
        <v>0</v>
      </c>
      <c r="R176" s="9" t="inlineStr">
        <is>
          <t>Direct</t>
        </is>
      </c>
      <c r="S176" s="9" t="inlineStr">
        <is>
          <t>Jordan Vale</t>
        </is>
      </c>
      <c r="T176" s="9" t="inlineStr">
        <is>
          <t>Invoiced</t>
        </is>
      </c>
      <c r="U176" s="10" t="n">
        <v>189</v>
      </c>
      <c r="V176" s="9" t="inlineStr">
        <is>
          <t>Replaces damaged unit</t>
        </is>
      </c>
    </row>
    <row r="177">
      <c r="A177" s="7" t="inlineStr">
        <is>
          <t>AP-31291</t>
        </is>
      </c>
      <c r="B177" s="23" t="n">
        <v>46238</v>
      </c>
      <c r="C177" s="7">
        <f>TEXT(B177,"yyyy-mm")</f>
        <v/>
      </c>
      <c r="D177" s="7" t="inlineStr">
        <is>
          <t>DIR-000</t>
        </is>
      </c>
      <c r="E177" s="9" t="inlineStr">
        <is>
          <t>Apex Instruments direct</t>
        </is>
      </c>
      <c r="F177" s="9" t="inlineStr">
        <is>
          <t>House</t>
        </is>
      </c>
      <c r="G177" s="9" t="inlineStr">
        <is>
          <t>Tampa</t>
        </is>
      </c>
      <c r="H177" s="9" t="inlineStr">
        <is>
          <t>Calibration service</t>
        </is>
      </c>
      <c r="I177" s="10" t="n">
        <v>5</v>
      </c>
      <c r="J177" s="16" t="n">
        <v>180</v>
      </c>
      <c r="K177" s="18" t="n">
        <v>0.1</v>
      </c>
      <c r="L177" s="16">
        <f>I177*J177</f>
        <v/>
      </c>
      <c r="M177" s="16">
        <f>ROUND(L177*(1-K177),2)</f>
        <v/>
      </c>
      <c r="N177" s="16" t="n">
        <v>99</v>
      </c>
      <c r="O177" s="16">
        <f>I177*N177</f>
        <v/>
      </c>
      <c r="P177" s="18">
        <f>IFERROR((M177-O177)/M177,0)</f>
        <v/>
      </c>
      <c r="Q177" s="16" t="n">
        <v>0</v>
      </c>
      <c r="R177" s="9" t="inlineStr">
        <is>
          <t>Direct</t>
        </is>
      </c>
      <c r="S177" s="9" t="inlineStr">
        <is>
          <t>Jordan Vale</t>
        </is>
      </c>
      <c r="T177" s="9" t="inlineStr">
        <is>
          <t>Open</t>
        </is>
      </c>
      <c r="U177" s="10" t="n">
        <v>190</v>
      </c>
      <c r="V177" s="9" t="inlineStr">
        <is>
          <t>Renewal</t>
        </is>
      </c>
    </row>
    <row r="178">
      <c r="A178" s="7" t="inlineStr">
        <is>
          <t>AP-31295</t>
        </is>
      </c>
      <c r="B178" s="23" t="n">
        <v>46204</v>
      </c>
      <c r="C178" s="7">
        <f>TEXT(B178,"yyyy-mm")</f>
        <v/>
      </c>
      <c r="D178" s="7" t="inlineStr">
        <is>
          <t>NLG-022</t>
        </is>
      </c>
      <c r="E178" s="9" t="inlineStr">
        <is>
          <t>Northlight Group</t>
        </is>
      </c>
      <c r="F178" s="9" t="inlineStr">
        <is>
          <t>Central Florida</t>
        </is>
      </c>
      <c r="G178" s="9" t="inlineStr">
        <is>
          <t>Orlando</t>
        </is>
      </c>
      <c r="H178" s="9" t="inlineStr">
        <is>
          <t>Meridian Field Kit</t>
        </is>
      </c>
      <c r="I178" s="10" t="n">
        <v>3</v>
      </c>
      <c r="J178" s="16" t="n">
        <v>1240</v>
      </c>
      <c r="K178" s="18" t="n">
        <v>0.03</v>
      </c>
      <c r="L178" s="16">
        <f>I178*J178</f>
        <v/>
      </c>
      <c r="M178" s="16">
        <f>ROUND(L178*(1-K178),2)</f>
        <v/>
      </c>
      <c r="N178" s="16" t="n">
        <v>806</v>
      </c>
      <c r="O178" s="16">
        <f>I178*N178</f>
        <v/>
      </c>
      <c r="P178" s="18">
        <f>IFERROR((M178-O178)/M178,0)</f>
        <v/>
      </c>
      <c r="Q178" s="16" t="n">
        <v>133.93</v>
      </c>
      <c r="R178" s="9" t="inlineStr">
        <is>
          <t>Partner</t>
        </is>
      </c>
      <c r="S178" s="9" t="inlineStr">
        <is>
          <t>Avery Kellen</t>
        </is>
      </c>
      <c r="T178" s="9" t="inlineStr">
        <is>
          <t>Shipped</t>
        </is>
      </c>
      <c r="U178" s="10" t="n">
        <v>191</v>
      </c>
      <c r="V178" s="9" t="inlineStr">
        <is>
          <t>Ship with calibration cert</t>
        </is>
      </c>
    </row>
    <row r="179">
      <c r="A179" s="7" t="inlineStr">
        <is>
          <t>AP-31303</t>
        </is>
      </c>
      <c r="B179" s="23" t="n">
        <v>46219</v>
      </c>
      <c r="C179" s="7">
        <f>TEXT(B179,"yyyy-mm")</f>
        <v/>
      </c>
      <c r="D179" s="7" t="inlineStr">
        <is>
          <t>NLG-044</t>
        </is>
      </c>
      <c r="E179" s="9" t="inlineStr">
        <is>
          <t>Northlight Group</t>
        </is>
      </c>
      <c r="F179" s="9" t="inlineStr">
        <is>
          <t>Central Florida</t>
        </is>
      </c>
      <c r="G179" s="9" t="inlineStr">
        <is>
          <t>Brandon</t>
        </is>
      </c>
      <c r="H179" s="9" t="inlineStr">
        <is>
          <t>Calibration service</t>
        </is>
      </c>
      <c r="I179" s="10" t="n">
        <v>3</v>
      </c>
      <c r="J179" s="16" t="n">
        <v>180</v>
      </c>
      <c r="K179" s="18" t="n">
        <v>0.08</v>
      </c>
      <c r="L179" s="16">
        <f>I179*J179</f>
        <v/>
      </c>
      <c r="M179" s="16">
        <f>ROUND(L179*(1-K179),2)</f>
        <v/>
      </c>
      <c r="N179" s="16" t="n">
        <v>99</v>
      </c>
      <c r="O179" s="16">
        <f>I179*N179</f>
        <v/>
      </c>
      <c r="P179" s="18">
        <f>IFERROR((M179-O179)/M179,0)</f>
        <v/>
      </c>
      <c r="Q179" s="16" t="n">
        <v>0</v>
      </c>
      <c r="R179" s="9" t="inlineStr">
        <is>
          <t>Partner</t>
        </is>
      </c>
      <c r="S179" s="9" t="inlineStr">
        <is>
          <t>Avery Kellen</t>
        </is>
      </c>
      <c r="T179" s="9" t="inlineStr">
        <is>
          <t>Shipped</t>
        </is>
      </c>
      <c r="U179" s="10" t="n">
        <v>192</v>
      </c>
      <c r="V179" s="9" t="inlineStr">
        <is>
          <t>Renewal</t>
        </is>
      </c>
    </row>
    <row r="180">
      <c r="A180" s="7" t="inlineStr">
        <is>
          <t>AP-31313</t>
        </is>
      </c>
      <c r="B180" s="23" t="n">
        <v>46255</v>
      </c>
      <c r="C180" s="7">
        <f>TEXT(B180,"yyyy-mm")</f>
        <v/>
      </c>
      <c r="D180" s="7" t="inlineStr">
        <is>
          <t>NLG-014</t>
        </is>
      </c>
      <c r="E180" s="9" t="inlineStr">
        <is>
          <t>Northlight Group</t>
        </is>
      </c>
      <c r="F180" s="9" t="inlineStr">
        <is>
          <t>Gulf Coast</t>
        </is>
      </c>
      <c r="G180" s="9" t="inlineStr">
        <is>
          <t>St. Petersburg</t>
        </is>
      </c>
      <c r="H180" s="9" t="inlineStr">
        <is>
          <t>Calibration service</t>
        </is>
      </c>
      <c r="I180" s="10" t="n">
        <v>3</v>
      </c>
      <c r="J180" s="16" t="n">
        <v>180</v>
      </c>
      <c r="K180" s="18" t="n">
        <v>0</v>
      </c>
      <c r="L180" s="16">
        <f>I180*J180</f>
        <v/>
      </c>
      <c r="M180" s="16">
        <f>ROUND(L180*(1-K180),2)</f>
        <v/>
      </c>
      <c r="N180" s="16" t="n">
        <v>99</v>
      </c>
      <c r="O180" s="16">
        <f>I180*N180</f>
        <v/>
      </c>
      <c r="P180" s="18">
        <f>IFERROR((M180-O180)/M180,0)</f>
        <v/>
      </c>
      <c r="Q180" s="16" t="n">
        <v>0</v>
      </c>
      <c r="R180" s="9" t="inlineStr">
        <is>
          <t>Partner</t>
        </is>
      </c>
      <c r="S180" s="9" t="inlineStr">
        <is>
          <t>Sami Torres</t>
        </is>
      </c>
      <c r="T180" s="9" t="inlineStr">
        <is>
          <t>Shipped</t>
        </is>
      </c>
      <c r="U180" s="10" t="n">
        <v>193</v>
      </c>
      <c r="V180" s="9" t="inlineStr">
        <is>
          <t>Rush requested</t>
        </is>
      </c>
    </row>
    <row r="181">
      <c r="A181" s="7" t="inlineStr">
        <is>
          <t>AP-31320</t>
        </is>
      </c>
      <c r="B181" s="23" t="n">
        <v>46281</v>
      </c>
      <c r="C181" s="7">
        <f>TEXT(B181,"yyyy-mm")</f>
        <v/>
      </c>
      <c r="D181" s="7" t="inlineStr">
        <is>
          <t>NLG-044</t>
        </is>
      </c>
      <c r="E181" s="9" t="inlineStr">
        <is>
          <t>Northlight Group</t>
        </is>
      </c>
      <c r="F181" s="9" t="inlineStr">
        <is>
          <t>Central Florida</t>
        </is>
      </c>
      <c r="G181" s="9" t="inlineStr">
        <is>
          <t>Brandon</t>
        </is>
      </c>
      <c r="H181" s="9" t="inlineStr">
        <is>
          <t>Calibration service</t>
        </is>
      </c>
      <c r="I181" s="10" t="n">
        <v>1</v>
      </c>
      <c r="J181" s="16" t="n">
        <v>180</v>
      </c>
      <c r="K181" s="18" t="n">
        <v>0.03</v>
      </c>
      <c r="L181" s="16">
        <f>I181*J181</f>
        <v/>
      </c>
      <c r="M181" s="16">
        <f>ROUND(L181*(1-K181),2)</f>
        <v/>
      </c>
      <c r="N181" s="16" t="n">
        <v>99</v>
      </c>
      <c r="O181" s="16">
        <f>I181*N181</f>
        <v/>
      </c>
      <c r="P181" s="18">
        <f>IFERROR((M181-O181)/M181,0)</f>
        <v/>
      </c>
      <c r="Q181" s="16" t="n">
        <v>0</v>
      </c>
      <c r="R181" s="9" t="inlineStr">
        <is>
          <t>Partner</t>
        </is>
      </c>
      <c r="S181" s="9" t="inlineStr">
        <is>
          <t>Morgan Reyes</t>
        </is>
      </c>
      <c r="T181" s="9" t="inlineStr">
        <is>
          <t>Invoiced</t>
        </is>
      </c>
      <c r="U181" s="10" t="n">
        <v>194</v>
      </c>
      <c r="V181" s="9" t="inlineStr">
        <is>
          <t>Ship with calibration cert</t>
        </is>
      </c>
    </row>
    <row r="182">
      <c r="A182" s="7" t="inlineStr">
        <is>
          <t>AP-31327</t>
        </is>
      </c>
      <c r="B182" s="23" t="n">
        <v>46227</v>
      </c>
      <c r="C182" s="7">
        <f>TEXT(B182,"yyyy-mm")</f>
        <v/>
      </c>
      <c r="D182" s="7" t="inlineStr">
        <is>
          <t>NLG-031</t>
        </is>
      </c>
      <c r="E182" s="9" t="inlineStr">
        <is>
          <t>Northlight Group</t>
        </is>
      </c>
      <c r="F182" s="9" t="inlineStr">
        <is>
          <t>Gulf Coast</t>
        </is>
      </c>
      <c r="G182" s="9" t="inlineStr">
        <is>
          <t>Sarasota</t>
        </is>
      </c>
      <c r="H182" s="9" t="inlineStr">
        <is>
          <t>Meridian Bench</t>
        </is>
      </c>
      <c r="I182" s="10" t="n">
        <v>1</v>
      </c>
      <c r="J182" s="16" t="n">
        <v>4850</v>
      </c>
      <c r="K182" s="18" t="n">
        <v>0.12</v>
      </c>
      <c r="L182" s="16">
        <f>I182*J182</f>
        <v/>
      </c>
      <c r="M182" s="16">
        <f>ROUND(L182*(1-K182),2)</f>
        <v/>
      </c>
      <c r="N182" s="16" t="n">
        <v>2910</v>
      </c>
      <c r="O182" s="16">
        <f>I182*N182</f>
        <v/>
      </c>
      <c r="P182" s="18">
        <f>IFERROR((M182-O182)/M182,0)</f>
        <v/>
      </c>
      <c r="Q182" s="16" t="n">
        <v>55.13</v>
      </c>
      <c r="R182" s="9" t="inlineStr">
        <is>
          <t>Partner</t>
        </is>
      </c>
      <c r="S182" s="9" t="inlineStr">
        <is>
          <t>Avery Kellen</t>
        </is>
      </c>
      <c r="T182" s="9" t="inlineStr">
        <is>
          <t>Shipped</t>
        </is>
      </c>
      <c r="U182" s="10" t="n">
        <v>195</v>
      </c>
      <c r="V182" s="9" t="inlineStr"/>
    </row>
    <row r="183">
      <c r="A183" s="7" t="inlineStr">
        <is>
          <t>AP-31340</t>
        </is>
      </c>
      <c r="B183" s="23" t="n">
        <v>46246</v>
      </c>
      <c r="C183" s="7">
        <f>TEXT(B183,"yyyy-mm")</f>
        <v/>
      </c>
      <c r="D183" s="7" t="inlineStr">
        <is>
          <t>NLG-011</t>
        </is>
      </c>
      <c r="E183" s="9" t="inlineStr">
        <is>
          <t>Northlight Group</t>
        </is>
      </c>
      <c r="F183" s="9" t="inlineStr">
        <is>
          <t>Gulf Coast</t>
        </is>
      </c>
      <c r="G183" s="9" t="inlineStr">
        <is>
          <t>Tampa</t>
        </is>
      </c>
      <c r="H183" s="9" t="inlineStr">
        <is>
          <t>Atlas Care Plus</t>
        </is>
      </c>
      <c r="I183" s="10" t="n">
        <v>6</v>
      </c>
      <c r="J183" s="16" t="n">
        <v>1788</v>
      </c>
      <c r="K183" s="18" t="n">
        <v>0</v>
      </c>
      <c r="L183" s="16">
        <f>I183*J183</f>
        <v/>
      </c>
      <c r="M183" s="16">
        <f>ROUND(L183*(1-K183),2)</f>
        <v/>
      </c>
      <c r="N183" s="16" t="n">
        <v>447</v>
      </c>
      <c r="O183" s="16">
        <f>I183*N183</f>
        <v/>
      </c>
      <c r="P183" s="18">
        <f>IFERROR((M183-O183)/M183,0)</f>
        <v/>
      </c>
      <c r="Q183" s="16" t="n">
        <v>0</v>
      </c>
      <c r="R183" s="9" t="inlineStr">
        <is>
          <t>Partner</t>
        </is>
      </c>
      <c r="S183" s="9" t="inlineStr">
        <is>
          <t>Avery Kellen</t>
        </is>
      </c>
      <c r="T183" s="9" t="inlineStr">
        <is>
          <t>Invoiced</t>
        </is>
      </c>
      <c r="U183" s="10" t="n">
        <v>197</v>
      </c>
      <c r="V183" s="9" t="inlineStr">
        <is>
          <t>Partner pickup</t>
        </is>
      </c>
    </row>
    <row r="184">
      <c r="A184" s="7" t="inlineStr">
        <is>
          <t>AP-31344</t>
        </is>
      </c>
      <c r="B184" s="23" t="n">
        <v>46252</v>
      </c>
      <c r="C184" s="7">
        <f>TEXT(B184,"yyyy-mm")</f>
        <v/>
      </c>
      <c r="D184" s="7" t="inlineStr">
        <is>
          <t>NLG-027</t>
        </is>
      </c>
      <c r="E184" s="9" t="inlineStr">
        <is>
          <t>Northlight Group</t>
        </is>
      </c>
      <c r="F184" s="9" t="inlineStr">
        <is>
          <t>Central Florida</t>
        </is>
      </c>
      <c r="G184" s="9" t="inlineStr">
        <is>
          <t>Lakeland</t>
        </is>
      </c>
      <c r="H184" s="9" t="inlineStr">
        <is>
          <t>Meridian Bench</t>
        </is>
      </c>
      <c r="I184" s="10" t="n">
        <v>3</v>
      </c>
      <c r="J184" s="16" t="n">
        <v>4850</v>
      </c>
      <c r="K184" s="18" t="n">
        <v>0.1</v>
      </c>
      <c r="L184" s="16">
        <f>I184*J184</f>
        <v/>
      </c>
      <c r="M184" s="16">
        <f>ROUND(L184*(1-K184),2)</f>
        <v/>
      </c>
      <c r="N184" s="16" t="n">
        <v>2910</v>
      </c>
      <c r="O184" s="16">
        <f>I184*N184</f>
        <v/>
      </c>
      <c r="P184" s="18">
        <f>IFERROR((M184-O184)/M184,0)</f>
        <v/>
      </c>
      <c r="Q184" s="16" t="n">
        <v>157.26</v>
      </c>
      <c r="R184" s="9" t="inlineStr">
        <is>
          <t>Partner</t>
        </is>
      </c>
      <c r="S184" s="9" t="inlineStr">
        <is>
          <t>Jordan Vale</t>
        </is>
      </c>
      <c r="T184" s="9" t="inlineStr">
        <is>
          <t>Shipped</t>
        </is>
      </c>
      <c r="U184" s="10" t="n">
        <v>198</v>
      </c>
      <c r="V184" s="9" t="inlineStr">
        <is>
          <t>Partner pickup</t>
        </is>
      </c>
    </row>
    <row r="185">
      <c r="A185" s="7" t="inlineStr">
        <is>
          <t>AP-31355</t>
        </is>
      </c>
      <c r="B185" s="23" t="n">
        <v>46219</v>
      </c>
      <c r="C185" s="7">
        <f>TEXT(B185,"yyyy-mm")</f>
        <v/>
      </c>
      <c r="D185" s="7" t="inlineStr">
        <is>
          <t>NLG-027</t>
        </is>
      </c>
      <c r="E185" s="9" t="inlineStr">
        <is>
          <t>Northlight Group</t>
        </is>
      </c>
      <c r="F185" s="9" t="inlineStr">
        <is>
          <t>Central Florida</t>
        </is>
      </c>
      <c r="G185" s="9" t="inlineStr">
        <is>
          <t>Lakeland</t>
        </is>
      </c>
      <c r="H185" s="9" t="inlineStr">
        <is>
          <t>Calibration service</t>
        </is>
      </c>
      <c r="I185" s="10" t="n">
        <v>1</v>
      </c>
      <c r="J185" s="16" t="n">
        <v>180</v>
      </c>
      <c r="K185" s="18" t="n">
        <v>0</v>
      </c>
      <c r="L185" s="16">
        <f>I185*J185</f>
        <v/>
      </c>
      <c r="M185" s="16">
        <f>ROUND(L185*(1-K185),2)</f>
        <v/>
      </c>
      <c r="N185" s="16" t="n">
        <v>99</v>
      </c>
      <c r="O185" s="16">
        <f>I185*N185</f>
        <v/>
      </c>
      <c r="P185" s="18">
        <f>IFERROR((M185-O185)/M185,0)</f>
        <v/>
      </c>
      <c r="Q185" s="16" t="n">
        <v>0</v>
      </c>
      <c r="R185" s="9" t="inlineStr">
        <is>
          <t>Partner</t>
        </is>
      </c>
      <c r="S185" s="9" t="inlineStr">
        <is>
          <t>Morgan Reyes</t>
        </is>
      </c>
      <c r="T185" s="9" t="inlineStr">
        <is>
          <t>Invoiced</t>
        </is>
      </c>
      <c r="U185" s="10" t="n">
        <v>199</v>
      </c>
      <c r="V185" s="9" t="inlineStr"/>
    </row>
    <row r="186">
      <c r="A186" s="7" t="inlineStr">
        <is>
          <t>AP-31359</t>
        </is>
      </c>
      <c r="B186" s="23" t="n">
        <v>46263</v>
      </c>
      <c r="C186" s="7">
        <f>TEXT(B186,"yyyy-mm")</f>
        <v/>
      </c>
      <c r="D186" s="7" t="inlineStr">
        <is>
          <t>NLG-031</t>
        </is>
      </c>
      <c r="E186" s="9" t="inlineStr">
        <is>
          <t>Northlight Group</t>
        </is>
      </c>
      <c r="F186" s="9" t="inlineStr">
        <is>
          <t>Gulf Coast</t>
        </is>
      </c>
      <c r="G186" s="9" t="inlineStr">
        <is>
          <t>Sarasota</t>
        </is>
      </c>
      <c r="H186" s="9" t="inlineStr">
        <is>
          <t>Atlas Care Plus</t>
        </is>
      </c>
      <c r="I186" s="10" t="n">
        <v>8</v>
      </c>
      <c r="J186" s="16" t="n">
        <v>1788</v>
      </c>
      <c r="K186" s="18" t="n">
        <v>0</v>
      </c>
      <c r="L186" s="16">
        <f>I186*J186</f>
        <v/>
      </c>
      <c r="M186" s="16">
        <f>ROUND(L186*(1-K186),2)</f>
        <v/>
      </c>
      <c r="N186" s="16" t="n">
        <v>447</v>
      </c>
      <c r="O186" s="16">
        <f>I186*N186</f>
        <v/>
      </c>
      <c r="P186" s="18">
        <f>IFERROR((M186-O186)/M186,0)</f>
        <v/>
      </c>
      <c r="Q186" s="16" t="n">
        <v>0</v>
      </c>
      <c r="R186" s="9" t="inlineStr">
        <is>
          <t>Partner</t>
        </is>
      </c>
      <c r="S186" s="9" t="inlineStr">
        <is>
          <t>Sami Torres</t>
        </is>
      </c>
      <c r="T186" s="9" t="inlineStr">
        <is>
          <t>Open</t>
        </is>
      </c>
      <c r="U186" s="10" t="n">
        <v>200</v>
      </c>
      <c r="V186" s="9" t="inlineStr"/>
    </row>
    <row r="187">
      <c r="A187" s="7" t="inlineStr">
        <is>
          <t>AP-31365</t>
        </is>
      </c>
      <c r="B187" s="23" t="n">
        <v>46268</v>
      </c>
      <c r="C187" s="7">
        <f>TEXT(B187,"yyyy-mm")</f>
        <v/>
      </c>
      <c r="D187" s="7" t="inlineStr">
        <is>
          <t>NLG-022</t>
        </is>
      </c>
      <c r="E187" s="9" t="inlineStr">
        <is>
          <t>Northlight Group</t>
        </is>
      </c>
      <c r="F187" s="9" t="inlineStr">
        <is>
          <t>Central Florida</t>
        </is>
      </c>
      <c r="G187" s="9" t="inlineStr">
        <is>
          <t>Orlando</t>
        </is>
      </c>
      <c r="H187" s="9" t="inlineStr">
        <is>
          <t>Meridian Field Kit</t>
        </is>
      </c>
      <c r="I187" s="10" t="n">
        <v>7</v>
      </c>
      <c r="J187" s="16" t="n">
        <v>1240</v>
      </c>
      <c r="K187" s="18" t="n">
        <v>0.12</v>
      </c>
      <c r="L187" s="16">
        <f>I187*J187</f>
        <v/>
      </c>
      <c r="M187" s="16">
        <f>ROUND(L187*(1-K187),2)</f>
        <v/>
      </c>
      <c r="N187" s="16" t="n">
        <v>806</v>
      </c>
      <c r="O187" s="16">
        <f>I187*N187</f>
        <v/>
      </c>
      <c r="P187" s="18">
        <f>IFERROR((M187-O187)/M187,0)</f>
        <v/>
      </c>
      <c r="Q187" s="16" t="n">
        <v>64.39</v>
      </c>
      <c r="R187" s="9" t="inlineStr">
        <is>
          <t>Partner</t>
        </is>
      </c>
      <c r="S187" s="9" t="inlineStr">
        <is>
          <t>Jordan Vale</t>
        </is>
      </c>
      <c r="T187" s="9" t="inlineStr">
        <is>
          <t>Shipped</t>
        </is>
      </c>
      <c r="U187" s="10" t="n">
        <v>201</v>
      </c>
      <c r="V187" s="9" t="inlineStr">
        <is>
          <t>Split shipment</t>
        </is>
      </c>
    </row>
    <row r="188">
      <c r="A188" s="7" t="inlineStr">
        <is>
          <t>AP-31372</t>
        </is>
      </c>
      <c r="B188" s="23" t="n">
        <v>46274</v>
      </c>
      <c r="C188" s="7">
        <f>TEXT(B188,"yyyy-mm")</f>
        <v/>
      </c>
      <c r="D188" s="7" t="inlineStr">
        <is>
          <t>DIR-000</t>
        </is>
      </c>
      <c r="E188" s="9" t="inlineStr">
        <is>
          <t>Apex Instruments direct</t>
        </is>
      </c>
      <c r="F188" s="9" t="inlineStr">
        <is>
          <t>House</t>
        </is>
      </c>
      <c r="G188" s="9" t="inlineStr">
        <is>
          <t>Tampa</t>
        </is>
      </c>
      <c r="H188" s="9" t="inlineStr">
        <is>
          <t>Calibration service</t>
        </is>
      </c>
      <c r="I188" s="10" t="n">
        <v>3</v>
      </c>
      <c r="J188" s="16" t="n">
        <v>180</v>
      </c>
      <c r="K188" s="18" t="n">
        <v>0</v>
      </c>
      <c r="L188" s="16">
        <f>I188*J188</f>
        <v/>
      </c>
      <c r="M188" s="16">
        <f>ROUND(L188*(1-K188),2)</f>
        <v/>
      </c>
      <c r="N188" s="16" t="n">
        <v>99</v>
      </c>
      <c r="O188" s="16">
        <f>I188*N188</f>
        <v/>
      </c>
      <c r="P188" s="18">
        <f>IFERROR((M188-O188)/M188,0)</f>
        <v/>
      </c>
      <c r="Q188" s="16" t="n">
        <v>0</v>
      </c>
      <c r="R188" s="9" t="inlineStr">
        <is>
          <t>Direct</t>
        </is>
      </c>
      <c r="S188" s="9" t="inlineStr">
        <is>
          <t>Morgan Reyes</t>
        </is>
      </c>
      <c r="T188" s="9" t="inlineStr">
        <is>
          <t>Shipped</t>
        </is>
      </c>
      <c r="U188" s="10" t="n">
        <v>202</v>
      </c>
      <c r="V188" s="9" t="inlineStr">
        <is>
          <t>Partner pickup</t>
        </is>
      </c>
    </row>
    <row r="189">
      <c r="A189" s="7" t="inlineStr">
        <is>
          <t>AP-31383</t>
        </is>
      </c>
      <c r="B189" s="23" t="n">
        <v>46222</v>
      </c>
      <c r="C189" s="7">
        <f>TEXT(B189,"yyyy-mm")</f>
        <v/>
      </c>
      <c r="D189" s="7" t="inlineStr">
        <is>
          <t>NLG-031</t>
        </is>
      </c>
      <c r="E189" s="9" t="inlineStr">
        <is>
          <t>Northlight Group</t>
        </is>
      </c>
      <c r="F189" s="9" t="inlineStr">
        <is>
          <t>Gulf Coast</t>
        </is>
      </c>
      <c r="G189" s="9" t="inlineStr">
        <is>
          <t>Sarasota</t>
        </is>
      </c>
      <c r="H189" s="9" t="inlineStr">
        <is>
          <t>Meridian Bench</t>
        </is>
      </c>
      <c r="I189" s="10" t="n">
        <v>2</v>
      </c>
      <c r="J189" s="16" t="n">
        <v>4850</v>
      </c>
      <c r="K189" s="18" t="n">
        <v>0</v>
      </c>
      <c r="L189" s="16">
        <f>I189*J189</f>
        <v/>
      </c>
      <c r="M189" s="16">
        <f>ROUND(L189*(1-K189),2)</f>
        <v/>
      </c>
      <c r="N189" s="16" t="n">
        <v>2910</v>
      </c>
      <c r="O189" s="16">
        <f>I189*N189</f>
        <v/>
      </c>
      <c r="P189" s="18">
        <f>IFERROR((M189-O189)/M189,0)</f>
        <v/>
      </c>
      <c r="Q189" s="16" t="n">
        <v>184.2</v>
      </c>
      <c r="R189" s="9" t="inlineStr">
        <is>
          <t>Partner</t>
        </is>
      </c>
      <c r="S189" s="9" t="inlineStr">
        <is>
          <t>Sami Torres</t>
        </is>
      </c>
      <c r="T189" s="9" t="inlineStr">
        <is>
          <t>Invoiced</t>
        </is>
      </c>
      <c r="U189" s="10" t="n">
        <v>203</v>
      </c>
      <c r="V189" s="9" t="inlineStr"/>
    </row>
    <row r="190">
      <c r="A190" s="7" t="inlineStr">
        <is>
          <t>AP-31387</t>
        </is>
      </c>
      <c r="B190" s="23" t="n">
        <v>46239</v>
      </c>
      <c r="C190" s="7">
        <f>TEXT(B190,"yyyy-mm")</f>
        <v/>
      </c>
      <c r="D190" s="7" t="inlineStr">
        <is>
          <t>NLG-031</t>
        </is>
      </c>
      <c r="E190" s="9" t="inlineStr">
        <is>
          <t>Northlight Group</t>
        </is>
      </c>
      <c r="F190" s="9" t="inlineStr">
        <is>
          <t>Gulf Coast</t>
        </is>
      </c>
      <c r="G190" s="9" t="inlineStr">
        <is>
          <t>Sarasota</t>
        </is>
      </c>
      <c r="H190" s="9" t="inlineStr">
        <is>
          <t>Meridian Field Kit</t>
        </is>
      </c>
      <c r="I190" s="10" t="n">
        <v>4</v>
      </c>
      <c r="J190" s="16" t="n">
        <v>1240</v>
      </c>
      <c r="K190" s="18" t="n">
        <v>0.05</v>
      </c>
      <c r="L190" s="16">
        <f>I190*J190</f>
        <v/>
      </c>
      <c r="M190" s="16">
        <f>ROUND(L190*(1-K190),2)</f>
        <v/>
      </c>
      <c r="N190" s="16" t="n">
        <v>806</v>
      </c>
      <c r="O190" s="16">
        <f>I190*N190</f>
        <v/>
      </c>
      <c r="P190" s="18">
        <f>IFERROR((M190-O190)/M190,0)</f>
        <v/>
      </c>
      <c r="Q190" s="16" t="n">
        <v>155.61</v>
      </c>
      <c r="R190" s="9" t="inlineStr">
        <is>
          <t>Partner</t>
        </is>
      </c>
      <c r="S190" s="9" t="inlineStr">
        <is>
          <t>Avery Kellen</t>
        </is>
      </c>
      <c r="T190" s="9" t="inlineStr">
        <is>
          <t>Invoiced</t>
        </is>
      </c>
      <c r="U190" s="10" t="n">
        <v>204</v>
      </c>
      <c r="V190" s="9" t="inlineStr">
        <is>
          <t>Quote 2026-Q3 pricing</t>
        </is>
      </c>
    </row>
    <row r="191">
      <c r="A191" s="7" t="inlineStr">
        <is>
          <t>AP-31394</t>
        </is>
      </c>
      <c r="B191" s="23" t="n">
        <v>46241</v>
      </c>
      <c r="C191" s="7">
        <f>TEXT(B191,"yyyy-mm")</f>
        <v/>
      </c>
      <c r="D191" s="7" t="inlineStr">
        <is>
          <t>NLG-014</t>
        </is>
      </c>
      <c r="E191" s="9" t="inlineStr">
        <is>
          <t>Northlight Group</t>
        </is>
      </c>
      <c r="F191" s="9" t="inlineStr">
        <is>
          <t>Gulf Coast</t>
        </is>
      </c>
      <c r="G191" s="9" t="inlineStr">
        <is>
          <t>St. Petersburg</t>
        </is>
      </c>
      <c r="H191" s="9" t="inlineStr">
        <is>
          <t>Calibration service</t>
        </is>
      </c>
      <c r="I191" s="10" t="n">
        <v>3</v>
      </c>
      <c r="J191" s="16" t="n">
        <v>180</v>
      </c>
      <c r="K191" s="18" t="n">
        <v>0.15</v>
      </c>
      <c r="L191" s="16">
        <f>I191*J191</f>
        <v/>
      </c>
      <c r="M191" s="16">
        <f>ROUND(L191*(1-K191),2)</f>
        <v/>
      </c>
      <c r="N191" s="16" t="n">
        <v>99</v>
      </c>
      <c r="O191" s="16">
        <f>I191*N191</f>
        <v/>
      </c>
      <c r="P191" s="18">
        <f>IFERROR((M191-O191)/M191,0)</f>
        <v/>
      </c>
      <c r="Q191" s="16" t="n">
        <v>0</v>
      </c>
      <c r="R191" s="9" t="inlineStr">
        <is>
          <t>Partner</t>
        </is>
      </c>
      <c r="S191" s="9" t="inlineStr">
        <is>
          <t>Morgan Reyes</t>
        </is>
      </c>
      <c r="T191" s="9" t="inlineStr">
        <is>
          <t>Shipped</t>
        </is>
      </c>
      <c r="U191" s="10" t="n">
        <v>205</v>
      </c>
      <c r="V191" s="9" t="inlineStr"/>
    </row>
    <row r="192">
      <c r="A192" s="7" t="inlineStr">
        <is>
          <t>AP-31403</t>
        </is>
      </c>
      <c r="B192" s="23" t="n">
        <v>46257</v>
      </c>
      <c r="C192" s="7">
        <f>TEXT(B192,"yyyy-mm")</f>
        <v/>
      </c>
      <c r="D192" s="7" t="inlineStr">
        <is>
          <t>NLG-022</t>
        </is>
      </c>
      <c r="E192" s="9" t="inlineStr">
        <is>
          <t>Northlight Group</t>
        </is>
      </c>
      <c r="F192" s="9" t="inlineStr">
        <is>
          <t>Central Florida</t>
        </is>
      </c>
      <c r="G192" s="9" t="inlineStr">
        <is>
          <t>Orlando</t>
        </is>
      </c>
      <c r="H192" s="9" t="inlineStr">
        <is>
          <t>Meridian Pro</t>
        </is>
      </c>
      <c r="I192" s="10" t="n">
        <v>1</v>
      </c>
      <c r="J192" s="16" t="n">
        <v>7900</v>
      </c>
      <c r="K192" s="18" t="n">
        <v>0.15</v>
      </c>
      <c r="L192" s="16">
        <f>I192*J192</f>
        <v/>
      </c>
      <c r="M192" s="16">
        <f>ROUND(L192*(1-K192),2)</f>
        <v/>
      </c>
      <c r="N192" s="16" t="n">
        <v>4345</v>
      </c>
      <c r="O192" s="16">
        <f>I192*N192</f>
        <v/>
      </c>
      <c r="P192" s="18">
        <f>IFERROR((M192-O192)/M192,0)</f>
        <v/>
      </c>
      <c r="Q192" s="16" t="n">
        <v>137.54</v>
      </c>
      <c r="R192" s="9" t="inlineStr">
        <is>
          <t>Partner</t>
        </is>
      </c>
      <c r="S192" s="9" t="inlineStr">
        <is>
          <t>Morgan Reyes</t>
        </is>
      </c>
      <c r="T192" s="9" t="inlineStr">
        <is>
          <t>Shipped</t>
        </is>
      </c>
      <c r="U192" s="10" t="n">
        <v>206</v>
      </c>
      <c r="V192" s="9" t="inlineStr">
        <is>
          <t>Backorder cleared</t>
        </is>
      </c>
    </row>
    <row r="193">
      <c r="A193" s="7" t="inlineStr">
        <is>
          <t>AP-31408</t>
        </is>
      </c>
      <c r="B193" s="23" t="n">
        <v>46239</v>
      </c>
      <c r="C193" s="7">
        <f>TEXT(B193,"yyyy-mm")</f>
        <v/>
      </c>
      <c r="D193" s="7" t="inlineStr">
        <is>
          <t>DIR-000</t>
        </is>
      </c>
      <c r="E193" s="9" t="inlineStr">
        <is>
          <t>Apex Instruments direct</t>
        </is>
      </c>
      <c r="F193" s="9" t="inlineStr">
        <is>
          <t>House</t>
        </is>
      </c>
      <c r="G193" s="9" t="inlineStr">
        <is>
          <t>Tampa</t>
        </is>
      </c>
      <c r="H193" s="9" t="inlineStr">
        <is>
          <t>Meridian Bench</t>
        </is>
      </c>
      <c r="I193" s="10" t="n">
        <v>3</v>
      </c>
      <c r="J193" s="16" t="n">
        <v>4850</v>
      </c>
      <c r="K193" s="18" t="n">
        <v>0</v>
      </c>
      <c r="L193" s="16">
        <f>I193*J193</f>
        <v/>
      </c>
      <c r="M193" s="16">
        <f>ROUND(L193*(1-K193),2)</f>
        <v/>
      </c>
      <c r="N193" s="16" t="n">
        <v>2910</v>
      </c>
      <c r="O193" s="16">
        <f>I193*N193</f>
        <v/>
      </c>
      <c r="P193" s="18">
        <f>IFERROR((M193-O193)/M193,0)</f>
        <v/>
      </c>
      <c r="Q193" s="16" t="n">
        <v>45.98</v>
      </c>
      <c r="R193" s="9" t="inlineStr">
        <is>
          <t>Direct</t>
        </is>
      </c>
      <c r="S193" s="9" t="inlineStr">
        <is>
          <t>Morgan Reyes</t>
        </is>
      </c>
      <c r="T193" s="9" t="inlineStr">
        <is>
          <t>Shipped</t>
        </is>
      </c>
      <c r="U193" s="10" t="n">
        <v>207</v>
      </c>
      <c r="V193" s="9" t="inlineStr"/>
    </row>
    <row r="194">
      <c r="A194" s="7" t="inlineStr">
        <is>
          <t>AP-31418</t>
        </is>
      </c>
      <c r="B194" s="23" t="n">
        <v>46287</v>
      </c>
      <c r="C194" s="7">
        <f>TEXT(B194,"yyyy-mm")</f>
        <v/>
      </c>
      <c r="D194" s="7" t="inlineStr">
        <is>
          <t>DIR-000</t>
        </is>
      </c>
      <c r="E194" s="9" t="inlineStr">
        <is>
          <t>Apex Instruments direct</t>
        </is>
      </c>
      <c r="F194" s="9" t="inlineStr">
        <is>
          <t>House</t>
        </is>
      </c>
      <c r="G194" s="9" t="inlineStr">
        <is>
          <t>Tampa</t>
        </is>
      </c>
      <c r="H194" s="9" t="inlineStr">
        <is>
          <t>Meridian Pro</t>
        </is>
      </c>
      <c r="I194" s="10" t="n">
        <v>2</v>
      </c>
      <c r="J194" s="16" t="n">
        <v>7900</v>
      </c>
      <c r="K194" s="18" t="n">
        <v>0.12</v>
      </c>
      <c r="L194" s="16">
        <f>I194*J194</f>
        <v/>
      </c>
      <c r="M194" s="16">
        <f>ROUND(L194*(1-K194),2)</f>
        <v/>
      </c>
      <c r="N194" s="16" t="n">
        <v>4345</v>
      </c>
      <c r="O194" s="16">
        <f>I194*N194</f>
        <v/>
      </c>
      <c r="P194" s="18">
        <f>IFERROR((M194-O194)/M194,0)</f>
        <v/>
      </c>
      <c r="Q194" s="16" t="n">
        <v>161.45</v>
      </c>
      <c r="R194" s="9" t="inlineStr">
        <is>
          <t>Direct</t>
        </is>
      </c>
      <c r="S194" s="9" t="inlineStr">
        <is>
          <t>Avery Kellen</t>
        </is>
      </c>
      <c r="T194" s="9" t="inlineStr">
        <is>
          <t>Open</t>
        </is>
      </c>
      <c r="U194" s="10" t="n">
        <v>208</v>
      </c>
      <c r="V194" s="9" t="inlineStr"/>
    </row>
    <row r="195">
      <c r="A195" s="7" t="inlineStr">
        <is>
          <t>AP-31425</t>
        </is>
      </c>
      <c r="B195" s="23" t="n">
        <v>46255</v>
      </c>
      <c r="C195" s="7">
        <f>TEXT(B195,"yyyy-mm")</f>
        <v/>
      </c>
      <c r="D195" s="7" t="inlineStr">
        <is>
          <t>NLG-014</t>
        </is>
      </c>
      <c r="E195" s="9" t="inlineStr">
        <is>
          <t>Northlight Group</t>
        </is>
      </c>
      <c r="F195" s="9" t="inlineStr">
        <is>
          <t>Gulf Coast</t>
        </is>
      </c>
      <c r="G195" s="9" t="inlineStr">
        <is>
          <t>St. Petersburg</t>
        </is>
      </c>
      <c r="H195" s="9" t="inlineStr">
        <is>
          <t>Atlas Care Plus</t>
        </is>
      </c>
      <c r="I195" s="10" t="n">
        <v>8</v>
      </c>
      <c r="J195" s="16" t="n">
        <v>1788</v>
      </c>
      <c r="K195" s="18" t="n">
        <v>0.05</v>
      </c>
      <c r="L195" s="16">
        <f>I195*J195</f>
        <v/>
      </c>
      <c r="M195" s="16">
        <f>ROUND(L195*(1-K195),2)</f>
        <v/>
      </c>
      <c r="N195" s="16" t="n">
        <v>447</v>
      </c>
      <c r="O195" s="16">
        <f>I195*N195</f>
        <v/>
      </c>
      <c r="P195" s="18">
        <f>IFERROR((M195-O195)/M195,0)</f>
        <v/>
      </c>
      <c r="Q195" s="16" t="n">
        <v>0</v>
      </c>
      <c r="R195" s="9" t="inlineStr">
        <is>
          <t>Partner</t>
        </is>
      </c>
      <c r="S195" s="9" t="inlineStr">
        <is>
          <t>Avery Kellen</t>
        </is>
      </c>
      <c r="T195" s="9" t="inlineStr">
        <is>
          <t>Shipped</t>
        </is>
      </c>
      <c r="U195" s="10" t="n">
        <v>209</v>
      </c>
      <c r="V195" s="9" t="inlineStr">
        <is>
          <t>Split shipment</t>
        </is>
      </c>
    </row>
    <row r="196">
      <c r="A196" s="7" t="inlineStr">
        <is>
          <t>AP-31428</t>
        </is>
      </c>
      <c r="B196" s="23" t="n">
        <v>46208</v>
      </c>
      <c r="C196" s="7">
        <f>TEXT(B196,"yyyy-mm")</f>
        <v/>
      </c>
      <c r="D196" s="7" t="inlineStr">
        <is>
          <t>NLG-014</t>
        </is>
      </c>
      <c r="E196" s="9" t="inlineStr">
        <is>
          <t>Northlight Group</t>
        </is>
      </c>
      <c r="F196" s="9" t="inlineStr">
        <is>
          <t>Gulf Coast</t>
        </is>
      </c>
      <c r="G196" s="9" t="inlineStr">
        <is>
          <t>St. Petersburg</t>
        </is>
      </c>
      <c r="H196" s="9" t="inlineStr">
        <is>
          <t>On-site training</t>
        </is>
      </c>
      <c r="I196" s="10" t="n">
        <v>2</v>
      </c>
      <c r="J196" s="16" t="n">
        <v>650</v>
      </c>
      <c r="K196" s="18" t="n">
        <v>0.03</v>
      </c>
      <c r="L196" s="16">
        <f>I196*J196</f>
        <v/>
      </c>
      <c r="M196" s="16">
        <f>ROUND(L196*(1-K196),2)</f>
        <v/>
      </c>
      <c r="N196" s="16" t="n">
        <v>429</v>
      </c>
      <c r="O196" s="16">
        <f>I196*N196</f>
        <v/>
      </c>
      <c r="P196" s="18">
        <f>IFERROR((M196-O196)/M196,0)</f>
        <v/>
      </c>
      <c r="Q196" s="16" t="n">
        <v>0</v>
      </c>
      <c r="R196" s="9" t="inlineStr">
        <is>
          <t>Partner</t>
        </is>
      </c>
      <c r="S196" s="9" t="inlineStr">
        <is>
          <t>Sami Torres</t>
        </is>
      </c>
      <c r="T196" s="9" t="inlineStr">
        <is>
          <t>Shipped</t>
        </is>
      </c>
      <c r="U196" s="10" t="n">
        <v>210</v>
      </c>
      <c r="V196" s="9" t="inlineStr"/>
    </row>
    <row r="197">
      <c r="A197" s="7" t="inlineStr">
        <is>
          <t>AP-31438</t>
        </is>
      </c>
      <c r="B197" s="23" t="n">
        <v>46225</v>
      </c>
      <c r="C197" s="7">
        <f>TEXT(B197,"yyyy-mm")</f>
        <v/>
      </c>
      <c r="D197" s="7" t="inlineStr">
        <is>
          <t>NLG-036</t>
        </is>
      </c>
      <c r="E197" s="9" t="inlineStr">
        <is>
          <t>Northlight Group</t>
        </is>
      </c>
      <c r="F197" s="9" t="inlineStr">
        <is>
          <t>Gulf Coast</t>
        </is>
      </c>
      <c r="G197" s="9" t="inlineStr">
        <is>
          <t>Clearwater</t>
        </is>
      </c>
      <c r="H197" s="9" t="inlineStr">
        <is>
          <t>Atlas Care Plus</t>
        </is>
      </c>
      <c r="I197" s="10" t="n">
        <v>11</v>
      </c>
      <c r="J197" s="16" t="n">
        <v>1788</v>
      </c>
      <c r="K197" s="18" t="n">
        <v>0</v>
      </c>
      <c r="L197" s="16">
        <f>I197*J197</f>
        <v/>
      </c>
      <c r="M197" s="16">
        <f>ROUND(L197*(1-K197),2)</f>
        <v/>
      </c>
      <c r="N197" s="16" t="n">
        <v>447</v>
      </c>
      <c r="O197" s="16">
        <f>I197*N197</f>
        <v/>
      </c>
      <c r="P197" s="18">
        <f>IFERROR((M197-O197)/M197,0)</f>
        <v/>
      </c>
      <c r="Q197" s="16" t="n">
        <v>0</v>
      </c>
      <c r="R197" s="9" t="inlineStr">
        <is>
          <t>Partner</t>
        </is>
      </c>
      <c r="S197" s="9" t="inlineStr">
        <is>
          <t>Sami Torres</t>
        </is>
      </c>
      <c r="T197" s="9" t="inlineStr">
        <is>
          <t>Shipped</t>
        </is>
      </c>
      <c r="U197" s="10" t="n">
        <v>211</v>
      </c>
      <c r="V197" s="9" t="inlineStr"/>
    </row>
    <row r="198">
      <c r="A198" s="7" t="inlineStr">
        <is>
          <t>AP-31443</t>
        </is>
      </c>
      <c r="B198" s="23" t="n">
        <v>46270</v>
      </c>
      <c r="C198" s="7">
        <f>TEXT(B198,"yyyy-mm")</f>
        <v/>
      </c>
      <c r="D198" s="7" t="inlineStr">
        <is>
          <t>NLG-022</t>
        </is>
      </c>
      <c r="E198" s="9" t="inlineStr">
        <is>
          <t>Northlight Group</t>
        </is>
      </c>
      <c r="F198" s="9" t="inlineStr">
        <is>
          <t>Central Florida</t>
        </is>
      </c>
      <c r="G198" s="9" t="inlineStr">
        <is>
          <t>Orlando</t>
        </is>
      </c>
      <c r="H198" s="9" t="inlineStr">
        <is>
          <t>Meridian Pro</t>
        </is>
      </c>
      <c r="I198" s="10" t="n">
        <v>2</v>
      </c>
      <c r="J198" s="16" t="n">
        <v>7900</v>
      </c>
      <c r="K198" s="18" t="n">
        <v>0.1</v>
      </c>
      <c r="L198" s="16">
        <f>I198*J198</f>
        <v/>
      </c>
      <c r="M198" s="16">
        <f>ROUND(L198*(1-K198),2)</f>
        <v/>
      </c>
      <c r="N198" s="16" t="n">
        <v>4345</v>
      </c>
      <c r="O198" s="16">
        <f>I198*N198</f>
        <v/>
      </c>
      <c r="P198" s="18">
        <f>IFERROR((M198-O198)/M198,0)</f>
        <v/>
      </c>
      <c r="Q198" s="16" t="n">
        <v>32.74</v>
      </c>
      <c r="R198" s="9" t="inlineStr">
        <is>
          <t>Partner</t>
        </is>
      </c>
      <c r="S198" s="9" t="inlineStr">
        <is>
          <t>Morgan Reyes</t>
        </is>
      </c>
      <c r="T198" s="9" t="inlineStr">
        <is>
          <t>Open</t>
        </is>
      </c>
      <c r="U198" s="10" t="n">
        <v>212</v>
      </c>
      <c r="V198" s="9" t="inlineStr">
        <is>
          <t>Partner pickup</t>
        </is>
      </c>
    </row>
    <row r="199">
      <c r="A199" s="7" t="inlineStr">
        <is>
          <t>AP-31451</t>
        </is>
      </c>
      <c r="B199" s="23" t="n">
        <v>46256</v>
      </c>
      <c r="C199" s="7">
        <f>TEXT(B199,"yyyy-mm")</f>
        <v/>
      </c>
      <c r="D199" s="7" t="inlineStr">
        <is>
          <t>NLG-044</t>
        </is>
      </c>
      <c r="E199" s="9" t="inlineStr">
        <is>
          <t>Northlight Group</t>
        </is>
      </c>
      <c r="F199" s="9" t="inlineStr">
        <is>
          <t>Central Florida</t>
        </is>
      </c>
      <c r="G199" s="9" t="inlineStr">
        <is>
          <t>Brandon</t>
        </is>
      </c>
      <c r="H199" s="9" t="inlineStr">
        <is>
          <t>Meridian Field Kit</t>
        </is>
      </c>
      <c r="I199" s="10" t="n">
        <v>2</v>
      </c>
      <c r="J199" s="16" t="n">
        <v>1240</v>
      </c>
      <c r="K199" s="18" t="n">
        <v>0</v>
      </c>
      <c r="L199" s="16">
        <f>I199*J199</f>
        <v/>
      </c>
      <c r="M199" s="16">
        <f>ROUND(L199*(1-K199),2)</f>
        <v/>
      </c>
      <c r="N199" s="16" t="n">
        <v>806</v>
      </c>
      <c r="O199" s="16">
        <f>I199*N199</f>
        <v/>
      </c>
      <c r="P199" s="18">
        <f>IFERROR((M199-O199)/M199,0)</f>
        <v/>
      </c>
      <c r="Q199" s="16" t="n">
        <v>137.24</v>
      </c>
      <c r="R199" s="9" t="inlineStr">
        <is>
          <t>Partner</t>
        </is>
      </c>
      <c r="S199" s="9" t="inlineStr">
        <is>
          <t>Jordan Vale</t>
        </is>
      </c>
      <c r="T199" s="9" t="inlineStr">
        <is>
          <t>Shipped</t>
        </is>
      </c>
      <c r="U199" s="10" t="n">
        <v>213</v>
      </c>
      <c r="V199" s="9" t="inlineStr">
        <is>
          <t>PO on file</t>
        </is>
      </c>
    </row>
    <row r="200">
      <c r="A200" s="7" t="inlineStr">
        <is>
          <t>AP-31460</t>
        </is>
      </c>
      <c r="B200" s="23" t="n">
        <v>46229</v>
      </c>
      <c r="C200" s="7">
        <f>TEXT(B200,"yyyy-mm")</f>
        <v/>
      </c>
      <c r="D200" s="7" t="inlineStr">
        <is>
          <t>NLG-044</t>
        </is>
      </c>
      <c r="E200" s="9" t="inlineStr">
        <is>
          <t>Northlight Group</t>
        </is>
      </c>
      <c r="F200" s="9" t="inlineStr">
        <is>
          <t>Central Florida</t>
        </is>
      </c>
      <c r="G200" s="9" t="inlineStr">
        <is>
          <t>Brandon</t>
        </is>
      </c>
      <c r="H200" s="9" t="inlineStr">
        <is>
          <t>Calibration service</t>
        </is>
      </c>
      <c r="I200" s="10" t="n">
        <v>3</v>
      </c>
      <c r="J200" s="16" t="n">
        <v>180</v>
      </c>
      <c r="K200" s="18" t="n">
        <v>0</v>
      </c>
      <c r="L200" s="16">
        <f>I200*J200</f>
        <v/>
      </c>
      <c r="M200" s="16">
        <f>ROUND(L200*(1-K200),2)</f>
        <v/>
      </c>
      <c r="N200" s="16" t="n">
        <v>99</v>
      </c>
      <c r="O200" s="16">
        <f>I200*N200</f>
        <v/>
      </c>
      <c r="P200" s="18">
        <f>IFERROR((M200-O200)/M200,0)</f>
        <v/>
      </c>
      <c r="Q200" s="16" t="n">
        <v>0</v>
      </c>
      <c r="R200" s="9" t="inlineStr">
        <is>
          <t>Partner</t>
        </is>
      </c>
      <c r="S200" s="9" t="inlineStr">
        <is>
          <t>Sami Torres</t>
        </is>
      </c>
      <c r="T200" s="9" t="inlineStr">
        <is>
          <t>Shipped</t>
        </is>
      </c>
      <c r="U200" s="10" t="n">
        <v>214</v>
      </c>
      <c r="V200" s="9" t="inlineStr">
        <is>
          <t>Split shipment</t>
        </is>
      </c>
    </row>
    <row r="201">
      <c r="A201" s="7" t="inlineStr">
        <is>
          <t>AP-31467</t>
        </is>
      </c>
      <c r="B201" s="23" t="n">
        <v>46236</v>
      </c>
      <c r="C201" s="7">
        <f>TEXT(B201,"yyyy-mm")</f>
        <v/>
      </c>
      <c r="D201" s="7" t="inlineStr">
        <is>
          <t>NLG-022</t>
        </is>
      </c>
      <c r="E201" s="9" t="inlineStr">
        <is>
          <t>Northlight Group</t>
        </is>
      </c>
      <c r="F201" s="9" t="inlineStr">
        <is>
          <t>Central Florida</t>
        </is>
      </c>
      <c r="G201" s="9" t="inlineStr">
        <is>
          <t>Orlando</t>
        </is>
      </c>
      <c r="H201" s="9" t="inlineStr">
        <is>
          <t>On-site training</t>
        </is>
      </c>
      <c r="I201" s="10" t="n">
        <v>3</v>
      </c>
      <c r="J201" s="16" t="n">
        <v>650</v>
      </c>
      <c r="K201" s="18" t="n">
        <v>0.05</v>
      </c>
      <c r="L201" s="16">
        <f>I201*J201</f>
        <v/>
      </c>
      <c r="M201" s="16">
        <f>ROUND(L201*(1-K201),2)</f>
        <v/>
      </c>
      <c r="N201" s="16" t="n">
        <v>429</v>
      </c>
      <c r="O201" s="16">
        <f>I201*N201</f>
        <v/>
      </c>
      <c r="P201" s="18">
        <f>IFERROR((M201-O201)/M201,0)</f>
        <v/>
      </c>
      <c r="Q201" s="16" t="n">
        <v>0</v>
      </c>
      <c r="R201" s="9" t="inlineStr">
        <is>
          <t>Partner</t>
        </is>
      </c>
      <c r="S201" s="9" t="inlineStr">
        <is>
          <t>Sami Torres</t>
        </is>
      </c>
      <c r="T201" s="9" t="inlineStr">
        <is>
          <t>Invoiced</t>
        </is>
      </c>
      <c r="U201" s="10" t="n">
        <v>215</v>
      </c>
      <c r="V201" s="9" t="inlineStr">
        <is>
          <t>Replaces damaged unit</t>
        </is>
      </c>
    </row>
    <row r="202">
      <c r="A202" s="7" t="inlineStr">
        <is>
          <t>AP-31474</t>
        </is>
      </c>
      <c r="B202" s="23" t="n">
        <v>46250</v>
      </c>
      <c r="C202" s="7">
        <f>TEXT(B202,"yyyy-mm")</f>
        <v/>
      </c>
      <c r="D202" s="7" t="inlineStr">
        <is>
          <t>NLG-036</t>
        </is>
      </c>
      <c r="E202" s="9" t="inlineStr">
        <is>
          <t>Northlight Group</t>
        </is>
      </c>
      <c r="F202" s="9" t="inlineStr">
        <is>
          <t>Gulf Coast</t>
        </is>
      </c>
      <c r="G202" s="9" t="inlineStr">
        <is>
          <t>Clearwater</t>
        </is>
      </c>
      <c r="H202" s="9" t="inlineStr">
        <is>
          <t>Meridian Field Kit</t>
        </is>
      </c>
      <c r="I202" s="10" t="n">
        <v>8</v>
      </c>
      <c r="J202" s="16" t="n">
        <v>1240</v>
      </c>
      <c r="K202" s="18" t="n">
        <v>0.05</v>
      </c>
      <c r="L202" s="16">
        <f>I202*J202</f>
        <v/>
      </c>
      <c r="M202" s="16">
        <f>ROUND(L202*(1-K202),2)</f>
        <v/>
      </c>
      <c r="N202" s="16" t="n">
        <v>806</v>
      </c>
      <c r="O202" s="16">
        <f>I202*N202</f>
        <v/>
      </c>
      <c r="P202" s="18">
        <f>IFERROR((M202-O202)/M202,0)</f>
        <v/>
      </c>
      <c r="Q202" s="16" t="n">
        <v>103.47</v>
      </c>
      <c r="R202" s="9" t="inlineStr">
        <is>
          <t>Partner</t>
        </is>
      </c>
      <c r="S202" s="9" t="inlineStr">
        <is>
          <t>Sami Torres</t>
        </is>
      </c>
      <c r="T202" s="9" t="inlineStr">
        <is>
          <t>Invoiced</t>
        </is>
      </c>
      <c r="U202" s="10" t="n">
        <v>216</v>
      </c>
      <c r="V202" s="9" t="inlineStr">
        <is>
          <t>Rush requested</t>
        </is>
      </c>
    </row>
    <row r="203">
      <c r="A203" s="7" t="inlineStr">
        <is>
          <t>AP-31484</t>
        </is>
      </c>
      <c r="B203" s="23" t="n">
        <v>46259</v>
      </c>
      <c r="C203" s="7">
        <f>TEXT(B203,"yyyy-mm")</f>
        <v/>
      </c>
      <c r="D203" s="7" t="inlineStr">
        <is>
          <t>NLG-022</t>
        </is>
      </c>
      <c r="E203" s="9" t="inlineStr">
        <is>
          <t>Northlight Group</t>
        </is>
      </c>
      <c r="F203" s="9" t="inlineStr">
        <is>
          <t>Central Florida</t>
        </is>
      </c>
      <c r="G203" s="9" t="inlineStr">
        <is>
          <t>Orlando</t>
        </is>
      </c>
      <c r="H203" s="9" t="inlineStr">
        <is>
          <t>Meridian Pro</t>
        </is>
      </c>
      <c r="I203" s="10" t="n">
        <v>1</v>
      </c>
      <c r="J203" s="16" t="n">
        <v>7900</v>
      </c>
      <c r="K203" s="18" t="n">
        <v>0</v>
      </c>
      <c r="L203" s="16">
        <f>I203*J203</f>
        <v/>
      </c>
      <c r="M203" s="16">
        <f>ROUND(L203*(1-K203),2)</f>
        <v/>
      </c>
      <c r="N203" s="16" t="n">
        <v>4345</v>
      </c>
      <c r="O203" s="16">
        <f>I203*N203</f>
        <v/>
      </c>
      <c r="P203" s="18">
        <f>IFERROR((M203-O203)/M203,0)</f>
        <v/>
      </c>
      <c r="Q203" s="16" t="n">
        <v>124.28</v>
      </c>
      <c r="R203" s="9" t="inlineStr">
        <is>
          <t>Partner</t>
        </is>
      </c>
      <c r="S203" s="9" t="inlineStr">
        <is>
          <t>Avery Kellen</t>
        </is>
      </c>
      <c r="T203" s="9" t="inlineStr">
        <is>
          <t>Open</t>
        </is>
      </c>
      <c r="U203" s="10" t="n">
        <v>218</v>
      </c>
      <c r="V203" s="9" t="inlineStr"/>
    </row>
    <row r="204">
      <c r="A204" s="7" t="inlineStr">
        <is>
          <t>AP-31491</t>
        </is>
      </c>
      <c r="B204" s="23" t="n">
        <v>46248</v>
      </c>
      <c r="C204" s="7">
        <f>TEXT(B204,"yyyy-mm")</f>
        <v/>
      </c>
      <c r="D204" s="7" t="inlineStr">
        <is>
          <t>NLG-031</t>
        </is>
      </c>
      <c r="E204" s="9" t="inlineStr">
        <is>
          <t>Northlight Group</t>
        </is>
      </c>
      <c r="F204" s="9" t="inlineStr">
        <is>
          <t>Gulf Coast</t>
        </is>
      </c>
      <c r="G204" s="9" t="inlineStr">
        <is>
          <t>Sarasota</t>
        </is>
      </c>
      <c r="H204" s="9" t="inlineStr">
        <is>
          <t>Meridian Field Kit</t>
        </is>
      </c>
      <c r="I204" s="10" t="n">
        <v>6</v>
      </c>
      <c r="J204" s="16" t="n">
        <v>1240</v>
      </c>
      <c r="K204" s="18" t="n">
        <v>0</v>
      </c>
      <c r="L204" s="16">
        <f>I204*J204</f>
        <v/>
      </c>
      <c r="M204" s="16">
        <f>ROUND(L204*(1-K204),2)</f>
        <v/>
      </c>
      <c r="N204" s="16" t="n">
        <v>806</v>
      </c>
      <c r="O204" s="16">
        <f>I204*N204</f>
        <v/>
      </c>
      <c r="P204" s="18">
        <f>IFERROR((M204-O204)/M204,0)</f>
        <v/>
      </c>
      <c r="Q204" s="16" t="n">
        <v>175.89</v>
      </c>
      <c r="R204" s="9" t="inlineStr">
        <is>
          <t>Partner</t>
        </is>
      </c>
      <c r="S204" s="9" t="inlineStr">
        <is>
          <t>Jordan Vale</t>
        </is>
      </c>
      <c r="T204" s="9" t="inlineStr">
        <is>
          <t>Open</t>
        </is>
      </c>
      <c r="U204" s="10" t="n">
        <v>219</v>
      </c>
      <c r="V204" s="9" t="inlineStr"/>
    </row>
    <row r="205">
      <c r="A205" s="7" t="inlineStr">
        <is>
          <t>AP-31502</t>
        </is>
      </c>
      <c r="B205" s="23" t="n">
        <v>46247</v>
      </c>
      <c r="C205" s="7">
        <f>TEXT(B205,"yyyy-mm")</f>
        <v/>
      </c>
      <c r="D205" s="7" t="inlineStr">
        <is>
          <t>NLG-031</t>
        </is>
      </c>
      <c r="E205" s="9" t="inlineStr">
        <is>
          <t>Northlight Group</t>
        </is>
      </c>
      <c r="F205" s="9" t="inlineStr">
        <is>
          <t>Gulf Coast</t>
        </is>
      </c>
      <c r="G205" s="9" t="inlineStr">
        <is>
          <t>Sarasota</t>
        </is>
      </c>
      <c r="H205" s="9" t="inlineStr">
        <is>
          <t>Atlas Care Plus</t>
        </is>
      </c>
      <c r="I205" s="10" t="n">
        <v>5</v>
      </c>
      <c r="J205" s="16" t="n">
        <v>1788</v>
      </c>
      <c r="K205" s="18" t="n">
        <v>0.05</v>
      </c>
      <c r="L205" s="16">
        <f>I205*J205</f>
        <v/>
      </c>
      <c r="M205" s="16">
        <f>ROUND(L205*(1-K205),2)</f>
        <v/>
      </c>
      <c r="N205" s="16" t="n">
        <v>447</v>
      </c>
      <c r="O205" s="16">
        <f>I205*N205</f>
        <v/>
      </c>
      <c r="P205" s="18">
        <f>IFERROR((M205-O205)/M205,0)</f>
        <v/>
      </c>
      <c r="Q205" s="16" t="n">
        <v>0</v>
      </c>
      <c r="R205" s="9" t="inlineStr">
        <is>
          <t>Partner</t>
        </is>
      </c>
      <c r="S205" s="9" t="inlineStr">
        <is>
          <t>Sami Torres</t>
        </is>
      </c>
      <c r="T205" s="9" t="inlineStr">
        <is>
          <t>Shipped</t>
        </is>
      </c>
      <c r="U205" s="10" t="n">
        <v>220</v>
      </c>
      <c r="V205" s="9" t="inlineStr">
        <is>
          <t>Ship with calibration cert</t>
        </is>
      </c>
    </row>
    <row r="206">
      <c r="A206" s="7" t="inlineStr">
        <is>
          <t>AP-31508</t>
        </is>
      </c>
      <c r="B206" s="23" t="n">
        <v>46217</v>
      </c>
      <c r="C206" s="7">
        <f>TEXT(B206,"yyyy-mm")</f>
        <v/>
      </c>
      <c r="D206" s="7" t="inlineStr">
        <is>
          <t>NLG-014</t>
        </is>
      </c>
      <c r="E206" s="9" t="inlineStr">
        <is>
          <t>Northlight Group</t>
        </is>
      </c>
      <c r="F206" s="9" t="inlineStr">
        <is>
          <t>Gulf Coast</t>
        </is>
      </c>
      <c r="G206" s="9" t="inlineStr">
        <is>
          <t>St. Petersburg</t>
        </is>
      </c>
      <c r="H206" s="9" t="inlineStr">
        <is>
          <t>Meridian Bench</t>
        </is>
      </c>
      <c r="I206" s="10" t="n">
        <v>2</v>
      </c>
      <c r="J206" s="16" t="n">
        <v>4850</v>
      </c>
      <c r="K206" s="18" t="n">
        <v>0.05</v>
      </c>
      <c r="L206" s="16">
        <f>I206*J206</f>
        <v/>
      </c>
      <c r="M206" s="16">
        <f>ROUND(L206*(1-K206),2)</f>
        <v/>
      </c>
      <c r="N206" s="16" t="n">
        <v>2910</v>
      </c>
      <c r="O206" s="16">
        <f>I206*N206</f>
        <v/>
      </c>
      <c r="P206" s="18">
        <f>IFERROR((M206-O206)/M206,0)</f>
        <v/>
      </c>
      <c r="Q206" s="16" t="n">
        <v>77.31</v>
      </c>
      <c r="R206" s="9" t="inlineStr">
        <is>
          <t>Partner</t>
        </is>
      </c>
      <c r="S206" s="9" t="inlineStr">
        <is>
          <t>Avery Kellen</t>
        </is>
      </c>
      <c r="T206" s="9" t="inlineStr">
        <is>
          <t>Invoiced</t>
        </is>
      </c>
      <c r="U206" s="10" t="n">
        <v>221</v>
      </c>
      <c r="V206" s="9" t="inlineStr">
        <is>
          <t>Partner pickup</t>
        </is>
      </c>
    </row>
    <row r="207">
      <c r="A207" s="7" t="inlineStr">
        <is>
          <t>AP-31512</t>
        </is>
      </c>
      <c r="B207" s="23" t="n">
        <v>46290</v>
      </c>
      <c r="C207" s="7">
        <f>TEXT(B207,"yyyy-mm")</f>
        <v/>
      </c>
      <c r="D207" s="7" t="inlineStr">
        <is>
          <t>NLG-022</t>
        </is>
      </c>
      <c r="E207" s="9" t="inlineStr">
        <is>
          <t>Northlight Group</t>
        </is>
      </c>
      <c r="F207" s="9" t="inlineStr">
        <is>
          <t>Central Florida</t>
        </is>
      </c>
      <c r="G207" s="9" t="inlineStr">
        <is>
          <t>Orlando</t>
        </is>
      </c>
      <c r="H207" s="9" t="inlineStr">
        <is>
          <t>Meridian Field Kit</t>
        </is>
      </c>
      <c r="I207" s="10" t="n">
        <v>8</v>
      </c>
      <c r="J207" s="16" t="n">
        <v>1240</v>
      </c>
      <c r="K207" s="18" t="n">
        <v>0</v>
      </c>
      <c r="L207" s="16">
        <f>I207*J207</f>
        <v/>
      </c>
      <c r="M207" s="16">
        <f>ROUND(L207*(1-K207),2)</f>
        <v/>
      </c>
      <c r="N207" s="16" t="n">
        <v>806</v>
      </c>
      <c r="O207" s="16">
        <f>I207*N207</f>
        <v/>
      </c>
      <c r="P207" s="18">
        <f>IFERROR((M207-O207)/M207,0)</f>
        <v/>
      </c>
      <c r="Q207" s="16" t="n">
        <v>185.37</v>
      </c>
      <c r="R207" s="9" t="inlineStr">
        <is>
          <t>Partner</t>
        </is>
      </c>
      <c r="S207" s="9" t="inlineStr">
        <is>
          <t>Sami Torres</t>
        </is>
      </c>
      <c r="T207" s="9" t="inlineStr">
        <is>
          <t>Shipped</t>
        </is>
      </c>
      <c r="U207" s="10" t="n">
        <v>222</v>
      </c>
      <c r="V207" s="9" t="inlineStr">
        <is>
          <t>Backorder cleared</t>
        </is>
      </c>
    </row>
    <row r="208">
      <c r="A208" s="7" t="inlineStr">
        <is>
          <t>AP-31519</t>
        </is>
      </c>
      <c r="B208" s="23" t="n">
        <v>46271</v>
      </c>
      <c r="C208" s="7">
        <f>TEXT(B208,"yyyy-mm")</f>
        <v/>
      </c>
      <c r="D208" s="7" t="inlineStr">
        <is>
          <t>DIR-000</t>
        </is>
      </c>
      <c r="E208" s="9" t="inlineStr">
        <is>
          <t>Apex Instruments direct</t>
        </is>
      </c>
      <c r="F208" s="9" t="inlineStr">
        <is>
          <t>House</t>
        </is>
      </c>
      <c r="G208" s="9" t="inlineStr">
        <is>
          <t>Tampa</t>
        </is>
      </c>
      <c r="H208" s="9" t="inlineStr">
        <is>
          <t>Atlas Care Plus</t>
        </is>
      </c>
      <c r="I208" s="10" t="n">
        <v>9</v>
      </c>
      <c r="J208" s="16" t="n">
        <v>1788</v>
      </c>
      <c r="K208" s="18" t="n">
        <v>0</v>
      </c>
      <c r="L208" s="16">
        <f>I208*J208</f>
        <v/>
      </c>
      <c r="M208" s="16">
        <f>ROUND(L208*(1-K208),2)</f>
        <v/>
      </c>
      <c r="N208" s="16" t="n">
        <v>447</v>
      </c>
      <c r="O208" s="16">
        <f>I208*N208</f>
        <v/>
      </c>
      <c r="P208" s="18">
        <f>IFERROR((M208-O208)/M208,0)</f>
        <v/>
      </c>
      <c r="Q208" s="16" t="n">
        <v>0</v>
      </c>
      <c r="R208" s="9" t="inlineStr">
        <is>
          <t>Direct</t>
        </is>
      </c>
      <c r="S208" s="9" t="inlineStr">
        <is>
          <t>Avery Kellen</t>
        </is>
      </c>
      <c r="T208" s="9" t="inlineStr">
        <is>
          <t>Shipped</t>
        </is>
      </c>
      <c r="U208" s="10" t="n">
        <v>223</v>
      </c>
      <c r="V208" s="9" t="inlineStr">
        <is>
          <t>Ship with calibration cert</t>
        </is>
      </c>
    </row>
    <row r="209">
      <c r="A209" s="7" t="inlineStr">
        <is>
          <t>AP-31529</t>
        </is>
      </c>
      <c r="B209" s="23" t="n">
        <v>46223</v>
      </c>
      <c r="C209" s="7">
        <f>TEXT(B209,"yyyy-mm")</f>
        <v/>
      </c>
      <c r="D209" s="7" t="inlineStr">
        <is>
          <t>NLG-044</t>
        </is>
      </c>
      <c r="E209" s="9" t="inlineStr">
        <is>
          <t>Northlight Group</t>
        </is>
      </c>
      <c r="F209" s="9" t="inlineStr">
        <is>
          <t>Central Florida</t>
        </is>
      </c>
      <c r="G209" s="9" t="inlineStr">
        <is>
          <t>Brandon</t>
        </is>
      </c>
      <c r="H209" s="9" t="inlineStr">
        <is>
          <t>Meridian Field Kit</t>
        </is>
      </c>
      <c r="I209" s="10" t="n">
        <v>5</v>
      </c>
      <c r="J209" s="16" t="n">
        <v>1240</v>
      </c>
      <c r="K209" s="18" t="n">
        <v>0</v>
      </c>
      <c r="L209" s="16">
        <f>I209*J209</f>
        <v/>
      </c>
      <c r="M209" s="16">
        <f>ROUND(L209*(1-K209),2)</f>
        <v/>
      </c>
      <c r="N209" s="16" t="n">
        <v>806</v>
      </c>
      <c r="O209" s="16">
        <f>I209*N209</f>
        <v/>
      </c>
      <c r="P209" s="18">
        <f>IFERROR((M209-O209)/M209,0)</f>
        <v/>
      </c>
      <c r="Q209" s="16" t="n">
        <v>40.59</v>
      </c>
      <c r="R209" s="9" t="inlineStr">
        <is>
          <t>Partner</t>
        </is>
      </c>
      <c r="S209" s="9" t="inlineStr">
        <is>
          <t>Jordan Vale</t>
        </is>
      </c>
      <c r="T209" s="9" t="inlineStr">
        <is>
          <t>Shipped</t>
        </is>
      </c>
      <c r="U209" s="10" t="n">
        <v>224</v>
      </c>
      <c r="V209" s="9" t="inlineStr">
        <is>
          <t>Renewal</t>
        </is>
      </c>
    </row>
    <row r="210">
      <c r="A210" s="7" t="inlineStr">
        <is>
          <t>AP-31535</t>
        </is>
      </c>
      <c r="B210" s="23" t="n">
        <v>46286</v>
      </c>
      <c r="C210" s="7">
        <f>TEXT(B210,"yyyy-mm")</f>
        <v/>
      </c>
      <c r="D210" s="7" t="inlineStr">
        <is>
          <t>NLG-027</t>
        </is>
      </c>
      <c r="E210" s="9" t="inlineStr">
        <is>
          <t>Northlight Group</t>
        </is>
      </c>
      <c r="F210" s="9" t="inlineStr">
        <is>
          <t>Central Florida</t>
        </is>
      </c>
      <c r="G210" s="9" t="inlineStr">
        <is>
          <t>Lakeland</t>
        </is>
      </c>
      <c r="H210" s="9" t="inlineStr">
        <is>
          <t>Atlas Care Plus</t>
        </is>
      </c>
      <c r="I210" s="10" t="n">
        <v>1</v>
      </c>
      <c r="J210" s="16" t="n">
        <v>1788</v>
      </c>
      <c r="K210" s="18" t="n">
        <v>0.05</v>
      </c>
      <c r="L210" s="16">
        <f>I210*J210</f>
        <v/>
      </c>
      <c r="M210" s="16">
        <f>ROUND(L210*(1-K210),2)</f>
        <v/>
      </c>
      <c r="N210" s="16" t="n">
        <v>447</v>
      </c>
      <c r="O210" s="16">
        <f>I210*N210</f>
        <v/>
      </c>
      <c r="P210" s="18">
        <f>IFERROR((M210-O210)/M210,0)</f>
        <v/>
      </c>
      <c r="Q210" s="16" t="n">
        <v>0</v>
      </c>
      <c r="R210" s="9" t="inlineStr">
        <is>
          <t>Partner</t>
        </is>
      </c>
      <c r="S210" s="9" t="inlineStr">
        <is>
          <t>Sami Torres</t>
        </is>
      </c>
      <c r="T210" s="9" t="inlineStr">
        <is>
          <t>Shipped</t>
        </is>
      </c>
      <c r="U210" s="10" t="n">
        <v>225</v>
      </c>
      <c r="V210" s="9" t="inlineStr"/>
    </row>
    <row r="211">
      <c r="A211" s="7" t="inlineStr">
        <is>
          <t>AP-31543</t>
        </is>
      </c>
      <c r="B211" s="23" t="n">
        <v>46295</v>
      </c>
      <c r="C211" s="7">
        <f>TEXT(B211,"yyyy-mm")</f>
        <v/>
      </c>
      <c r="D211" s="7" t="inlineStr">
        <is>
          <t>NLG-031</t>
        </is>
      </c>
      <c r="E211" s="9" t="inlineStr">
        <is>
          <t>Northlight Group</t>
        </is>
      </c>
      <c r="F211" s="9" t="inlineStr">
        <is>
          <t>Gulf Coast</t>
        </is>
      </c>
      <c r="G211" s="9" t="inlineStr">
        <is>
          <t>Sarasota</t>
        </is>
      </c>
      <c r="H211" s="9" t="inlineStr">
        <is>
          <t>Atlas Care Plus</t>
        </is>
      </c>
      <c r="I211" s="10" t="n">
        <v>11</v>
      </c>
      <c r="J211" s="16" t="n">
        <v>1788</v>
      </c>
      <c r="K211" s="18" t="n">
        <v>0.05</v>
      </c>
      <c r="L211" s="16">
        <f>I211*J211</f>
        <v/>
      </c>
      <c r="M211" s="16">
        <f>ROUND(L211*(1-K211),2)</f>
        <v/>
      </c>
      <c r="N211" s="16" t="n">
        <v>447</v>
      </c>
      <c r="O211" s="16">
        <f>I211*N211</f>
        <v/>
      </c>
      <c r="P211" s="18">
        <f>IFERROR((M211-O211)/M211,0)</f>
        <v/>
      </c>
      <c r="Q211" s="16" t="n">
        <v>0</v>
      </c>
      <c r="R211" s="9" t="inlineStr">
        <is>
          <t>Partner</t>
        </is>
      </c>
      <c r="S211" s="9" t="inlineStr">
        <is>
          <t>Morgan Reyes</t>
        </is>
      </c>
      <c r="T211" s="9" t="inlineStr">
        <is>
          <t>Shipped</t>
        </is>
      </c>
      <c r="U211" s="10" t="n">
        <v>226</v>
      </c>
      <c r="V211" s="9" t="inlineStr">
        <is>
          <t>Renewal</t>
        </is>
      </c>
    </row>
    <row r="212">
      <c r="A212" s="7" t="inlineStr">
        <is>
          <t>AP-31549</t>
        </is>
      </c>
      <c r="B212" s="23" t="n">
        <v>46290</v>
      </c>
      <c r="C212" s="7">
        <f>TEXT(B212,"yyyy-mm")</f>
        <v/>
      </c>
      <c r="D212" s="7" t="inlineStr">
        <is>
          <t>NLG-031</t>
        </is>
      </c>
      <c r="E212" s="9" t="inlineStr">
        <is>
          <t>Northlight Group</t>
        </is>
      </c>
      <c r="F212" s="9" t="inlineStr">
        <is>
          <t>Gulf Coast</t>
        </is>
      </c>
      <c r="G212" s="9" t="inlineStr">
        <is>
          <t>Sarasota</t>
        </is>
      </c>
      <c r="H212" s="9" t="inlineStr">
        <is>
          <t>Atlas Care Plus</t>
        </is>
      </c>
      <c r="I212" s="10" t="n">
        <v>2</v>
      </c>
      <c r="J212" s="16" t="n">
        <v>1788</v>
      </c>
      <c r="K212" s="18" t="n">
        <v>0.03</v>
      </c>
      <c r="L212" s="16">
        <f>I212*J212</f>
        <v/>
      </c>
      <c r="M212" s="16">
        <f>ROUND(L212*(1-K212),2)</f>
        <v/>
      </c>
      <c r="N212" s="16" t="n">
        <v>447</v>
      </c>
      <c r="O212" s="16">
        <f>I212*N212</f>
        <v/>
      </c>
      <c r="P212" s="18">
        <f>IFERROR((M212-O212)/M212,0)</f>
        <v/>
      </c>
      <c r="Q212" s="16" t="n">
        <v>0</v>
      </c>
      <c r="R212" s="9" t="inlineStr">
        <is>
          <t>Partner</t>
        </is>
      </c>
      <c r="S212" s="9" t="inlineStr">
        <is>
          <t>Avery Kellen</t>
        </is>
      </c>
      <c r="T212" s="9" t="inlineStr">
        <is>
          <t>Shipped</t>
        </is>
      </c>
      <c r="U212" s="10" t="n">
        <v>227</v>
      </c>
      <c r="V212" s="9" t="inlineStr">
        <is>
          <t>Renewal</t>
        </is>
      </c>
    </row>
    <row r="213">
      <c r="A213" s="7" t="inlineStr">
        <is>
          <t>AP-31555</t>
        </is>
      </c>
      <c r="B213" s="23" t="n">
        <v>46233</v>
      </c>
      <c r="C213" s="7">
        <f>TEXT(B213,"yyyy-mm")</f>
        <v/>
      </c>
      <c r="D213" s="7" t="inlineStr">
        <is>
          <t>NLG-011</t>
        </is>
      </c>
      <c r="E213" s="9" t="inlineStr">
        <is>
          <t>Northlight Group</t>
        </is>
      </c>
      <c r="F213" s="9" t="inlineStr">
        <is>
          <t>Gulf Coast</t>
        </is>
      </c>
      <c r="G213" s="9" t="inlineStr">
        <is>
          <t>Tampa</t>
        </is>
      </c>
      <c r="H213" s="9" t="inlineStr">
        <is>
          <t>Calibration service</t>
        </is>
      </c>
      <c r="I213" s="10" t="n">
        <v>6</v>
      </c>
      <c r="J213" s="16" t="n">
        <v>180</v>
      </c>
      <c r="K213" s="18" t="n">
        <v>0.05</v>
      </c>
      <c r="L213" s="16">
        <f>I213*J213</f>
        <v/>
      </c>
      <c r="M213" s="16">
        <f>ROUND(L213*(1-K213),2)</f>
        <v/>
      </c>
      <c r="N213" s="16" t="n">
        <v>99</v>
      </c>
      <c r="O213" s="16">
        <f>I213*N213</f>
        <v/>
      </c>
      <c r="P213" s="18">
        <f>IFERROR((M213-O213)/M213,0)</f>
        <v/>
      </c>
      <c r="Q213" s="16" t="n">
        <v>0</v>
      </c>
      <c r="R213" s="9" t="inlineStr">
        <is>
          <t>Partner</t>
        </is>
      </c>
      <c r="S213" s="9" t="inlineStr">
        <is>
          <t>Sami Torres</t>
        </is>
      </c>
      <c r="T213" s="9" t="inlineStr">
        <is>
          <t>Shipped</t>
        </is>
      </c>
      <c r="U213" s="10" t="n">
        <v>228</v>
      </c>
      <c r="V213" s="9" t="inlineStr"/>
    </row>
    <row r="214">
      <c r="A214" s="7" t="inlineStr">
        <is>
          <t>AP-31562</t>
        </is>
      </c>
      <c r="B214" s="23" t="n">
        <v>46210</v>
      </c>
      <c r="C214" s="7">
        <f>TEXT(B214,"yyyy-mm")</f>
        <v/>
      </c>
      <c r="D214" s="7" t="inlineStr">
        <is>
          <t>NLG-027</t>
        </is>
      </c>
      <c r="E214" s="9" t="inlineStr">
        <is>
          <t>Northlight Group</t>
        </is>
      </c>
      <c r="F214" s="9" t="inlineStr">
        <is>
          <t>Central Florida</t>
        </is>
      </c>
      <c r="G214" s="9" t="inlineStr">
        <is>
          <t>Lakeland</t>
        </is>
      </c>
      <c r="H214" s="9" t="inlineStr">
        <is>
          <t>Atlas Care Plus</t>
        </is>
      </c>
      <c r="I214" s="10" t="n">
        <v>4</v>
      </c>
      <c r="J214" s="16" t="n">
        <v>1788</v>
      </c>
      <c r="K214" s="18" t="n">
        <v>0.12</v>
      </c>
      <c r="L214" s="16">
        <f>I214*J214</f>
        <v/>
      </c>
      <c r="M214" s="16">
        <f>ROUND(L214*(1-K214),2)</f>
        <v/>
      </c>
      <c r="N214" s="16" t="n">
        <v>447</v>
      </c>
      <c r="O214" s="16">
        <f>I214*N214</f>
        <v/>
      </c>
      <c r="P214" s="18">
        <f>IFERROR((M214-O214)/M214,0)</f>
        <v/>
      </c>
      <c r="Q214" s="16" t="n">
        <v>0</v>
      </c>
      <c r="R214" s="9" t="inlineStr">
        <is>
          <t>Partner</t>
        </is>
      </c>
      <c r="S214" s="9" t="inlineStr">
        <is>
          <t>Avery Kellen</t>
        </is>
      </c>
      <c r="T214" s="9" t="inlineStr">
        <is>
          <t>Shipped</t>
        </is>
      </c>
      <c r="U214" s="10" t="n">
        <v>229</v>
      </c>
      <c r="V214" s="9" t="inlineStr">
        <is>
          <t>Ship with calibration cert</t>
        </is>
      </c>
    </row>
    <row r="215">
      <c r="A215" s="7" t="inlineStr">
        <is>
          <t>AP-31568</t>
        </is>
      </c>
      <c r="B215" s="23" t="n">
        <v>46238</v>
      </c>
      <c r="C215" s="7">
        <f>TEXT(B215,"yyyy-mm")</f>
        <v/>
      </c>
      <c r="D215" s="7" t="inlineStr">
        <is>
          <t>NLG-014</t>
        </is>
      </c>
      <c r="E215" s="9" t="inlineStr">
        <is>
          <t>Northlight Group</t>
        </is>
      </c>
      <c r="F215" s="9" t="inlineStr">
        <is>
          <t>Gulf Coast</t>
        </is>
      </c>
      <c r="G215" s="9" t="inlineStr">
        <is>
          <t>St. Petersburg</t>
        </is>
      </c>
      <c r="H215" s="9" t="inlineStr">
        <is>
          <t>Calibration service</t>
        </is>
      </c>
      <c r="I215" s="10" t="n">
        <v>1</v>
      </c>
      <c r="J215" s="16" t="n">
        <v>180</v>
      </c>
      <c r="K215" s="18" t="n">
        <v>0</v>
      </c>
      <c r="L215" s="16">
        <f>I215*J215</f>
        <v/>
      </c>
      <c r="M215" s="16">
        <f>ROUND(L215*(1-K215),2)</f>
        <v/>
      </c>
      <c r="N215" s="16" t="n">
        <v>99</v>
      </c>
      <c r="O215" s="16">
        <f>I215*N215</f>
        <v/>
      </c>
      <c r="P215" s="18">
        <f>IFERROR((M215-O215)/M215,0)</f>
        <v/>
      </c>
      <c r="Q215" s="16" t="n">
        <v>0</v>
      </c>
      <c r="R215" s="9" t="inlineStr">
        <is>
          <t>Partner</t>
        </is>
      </c>
      <c r="S215" s="9" t="inlineStr">
        <is>
          <t>Sami Torres</t>
        </is>
      </c>
      <c r="T215" s="9" t="inlineStr">
        <is>
          <t>Shipped</t>
        </is>
      </c>
      <c r="U215" s="10" t="n">
        <v>230</v>
      </c>
      <c r="V215" s="9" t="inlineStr">
        <is>
          <t>Split shipment</t>
        </is>
      </c>
    </row>
    <row r="216">
      <c r="A216" s="7" t="inlineStr">
        <is>
          <t>AP-31578</t>
        </is>
      </c>
      <c r="B216" s="23" t="n">
        <v>46285</v>
      </c>
      <c r="C216" s="7">
        <f>TEXT(B216,"yyyy-mm")</f>
        <v/>
      </c>
      <c r="D216" s="7" t="inlineStr">
        <is>
          <t>NLG-031</t>
        </is>
      </c>
      <c r="E216" s="9" t="inlineStr">
        <is>
          <t>Northlight Group</t>
        </is>
      </c>
      <c r="F216" s="9" t="inlineStr">
        <is>
          <t>Gulf Coast</t>
        </is>
      </c>
      <c r="G216" s="9" t="inlineStr">
        <is>
          <t>Sarasota</t>
        </is>
      </c>
      <c r="H216" s="9" t="inlineStr">
        <is>
          <t>Atlas Care Plus</t>
        </is>
      </c>
      <c r="I216" s="10" t="n">
        <v>3</v>
      </c>
      <c r="J216" s="16" t="n">
        <v>1788</v>
      </c>
      <c r="K216" s="18" t="n">
        <v>0.03</v>
      </c>
      <c r="L216" s="16">
        <f>I216*J216</f>
        <v/>
      </c>
      <c r="M216" s="16">
        <f>ROUND(L216*(1-K216),2)</f>
        <v/>
      </c>
      <c r="N216" s="16" t="n">
        <v>447</v>
      </c>
      <c r="O216" s="16">
        <f>I216*N216</f>
        <v/>
      </c>
      <c r="P216" s="18">
        <f>IFERROR((M216-O216)/M216,0)</f>
        <v/>
      </c>
      <c r="Q216" s="16" t="n">
        <v>0</v>
      </c>
      <c r="R216" s="9" t="inlineStr">
        <is>
          <t>Partner</t>
        </is>
      </c>
      <c r="S216" s="9" t="inlineStr">
        <is>
          <t>Sami Torres</t>
        </is>
      </c>
      <c r="T216" s="9" t="inlineStr">
        <is>
          <t>Invoiced</t>
        </is>
      </c>
      <c r="U216" s="10" t="n">
        <v>231</v>
      </c>
      <c r="V216" s="9" t="inlineStr"/>
    </row>
    <row r="217">
      <c r="A217" s="7" t="inlineStr">
        <is>
          <t>AP-31585</t>
        </is>
      </c>
      <c r="B217" s="23" t="n">
        <v>46256</v>
      </c>
      <c r="C217" s="7">
        <f>TEXT(B217,"yyyy-mm")</f>
        <v/>
      </c>
      <c r="D217" s="7" t="inlineStr">
        <is>
          <t>NLG-027</t>
        </is>
      </c>
      <c r="E217" s="9" t="inlineStr">
        <is>
          <t>Northlight Group</t>
        </is>
      </c>
      <c r="F217" s="9" t="inlineStr">
        <is>
          <t>Central Florida</t>
        </is>
      </c>
      <c r="G217" s="9" t="inlineStr">
        <is>
          <t>Lakeland</t>
        </is>
      </c>
      <c r="H217" s="9" t="inlineStr">
        <is>
          <t>Meridian Bench</t>
        </is>
      </c>
      <c r="I217" s="10" t="n">
        <v>2</v>
      </c>
      <c r="J217" s="16" t="n">
        <v>4850</v>
      </c>
      <c r="K217" s="18" t="n">
        <v>0.05</v>
      </c>
      <c r="L217" s="16">
        <f>I217*J217</f>
        <v/>
      </c>
      <c r="M217" s="16">
        <f>ROUND(L217*(1-K217),2)</f>
        <v/>
      </c>
      <c r="N217" s="16" t="n">
        <v>2910</v>
      </c>
      <c r="O217" s="16">
        <f>I217*N217</f>
        <v/>
      </c>
      <c r="P217" s="18">
        <f>IFERROR((M217-O217)/M217,0)</f>
        <v/>
      </c>
      <c r="Q217" s="16" t="n">
        <v>99.06</v>
      </c>
      <c r="R217" s="9" t="inlineStr">
        <is>
          <t>Partner</t>
        </is>
      </c>
      <c r="S217" s="9" t="inlineStr">
        <is>
          <t>Morgan Reyes</t>
        </is>
      </c>
      <c r="T217" s="9" t="inlineStr">
        <is>
          <t>Invoiced</t>
        </is>
      </c>
      <c r="U217" s="10" t="n">
        <v>232</v>
      </c>
      <c r="V217" s="9" t="inlineStr">
        <is>
          <t>Ship with calibration cert</t>
        </is>
      </c>
    </row>
    <row r="218">
      <c r="A218" s="7" t="inlineStr">
        <is>
          <t>AP-31591</t>
        </is>
      </c>
      <c r="B218" s="23" t="n">
        <v>46210</v>
      </c>
      <c r="C218" s="7">
        <f>TEXT(B218,"yyyy-mm")</f>
        <v/>
      </c>
      <c r="D218" s="7" t="inlineStr">
        <is>
          <t>NLG-027</t>
        </is>
      </c>
      <c r="E218" s="9" t="inlineStr">
        <is>
          <t>Northlight Group</t>
        </is>
      </c>
      <c r="F218" s="9" t="inlineStr">
        <is>
          <t>Central Florida</t>
        </is>
      </c>
      <c r="G218" s="9" t="inlineStr">
        <is>
          <t>Lakeland</t>
        </is>
      </c>
      <c r="H218" s="9" t="inlineStr">
        <is>
          <t>Meridian Pro</t>
        </is>
      </c>
      <c r="I218" s="10" t="n">
        <v>2</v>
      </c>
      <c r="J218" s="16" t="n">
        <v>7900</v>
      </c>
      <c r="K218" s="18" t="n">
        <v>0.1</v>
      </c>
      <c r="L218" s="16">
        <f>I218*J218</f>
        <v/>
      </c>
      <c r="M218" s="16">
        <f>ROUND(L218*(1-K218),2)</f>
        <v/>
      </c>
      <c r="N218" s="16" t="n">
        <v>4345</v>
      </c>
      <c r="O218" s="16">
        <f>I218*N218</f>
        <v/>
      </c>
      <c r="P218" s="18">
        <f>IFERROR((M218-O218)/M218,0)</f>
        <v/>
      </c>
      <c r="Q218" s="16" t="n">
        <v>106.45</v>
      </c>
      <c r="R218" s="9" t="inlineStr">
        <is>
          <t>Partner</t>
        </is>
      </c>
      <c r="S218" s="9" t="inlineStr">
        <is>
          <t>Jordan Vale</t>
        </is>
      </c>
      <c r="T218" s="9" t="inlineStr">
        <is>
          <t>Invoiced</t>
        </is>
      </c>
      <c r="U218" s="10" t="n">
        <v>233</v>
      </c>
      <c r="V218" s="9" t="inlineStr">
        <is>
          <t>Ship with calibration cert</t>
        </is>
      </c>
    </row>
    <row r="219">
      <c r="A219" s="7" t="inlineStr">
        <is>
          <t>AP-31598</t>
        </is>
      </c>
      <c r="B219" s="23" t="n">
        <v>46288</v>
      </c>
      <c r="C219" s="7">
        <f>TEXT(B219,"yyyy-mm")</f>
        <v/>
      </c>
      <c r="D219" s="7" t="inlineStr">
        <is>
          <t>NLG-036</t>
        </is>
      </c>
      <c r="E219" s="9" t="inlineStr">
        <is>
          <t>Northlight Group</t>
        </is>
      </c>
      <c r="F219" s="9" t="inlineStr">
        <is>
          <t>Gulf Coast</t>
        </is>
      </c>
      <c r="G219" s="9" t="inlineStr">
        <is>
          <t>Clearwater</t>
        </is>
      </c>
      <c r="H219" s="9" t="inlineStr">
        <is>
          <t>Atlas Care Plus</t>
        </is>
      </c>
      <c r="I219" s="10" t="n">
        <v>5</v>
      </c>
      <c r="J219" s="16" t="n">
        <v>1788</v>
      </c>
      <c r="K219" s="18" t="n">
        <v>0</v>
      </c>
      <c r="L219" s="16">
        <f>I219*J219</f>
        <v/>
      </c>
      <c r="M219" s="16">
        <f>ROUND(L219*(1-K219),2)</f>
        <v/>
      </c>
      <c r="N219" s="16" t="n">
        <v>447</v>
      </c>
      <c r="O219" s="16">
        <f>I219*N219</f>
        <v/>
      </c>
      <c r="P219" s="18">
        <f>IFERROR((M219-O219)/M219,0)</f>
        <v/>
      </c>
      <c r="Q219" s="16" t="n">
        <v>0</v>
      </c>
      <c r="R219" s="9" t="inlineStr">
        <is>
          <t>Partner</t>
        </is>
      </c>
      <c r="S219" s="9" t="inlineStr">
        <is>
          <t>Jordan Vale</t>
        </is>
      </c>
      <c r="T219" s="9" t="inlineStr">
        <is>
          <t>Invoiced</t>
        </is>
      </c>
      <c r="U219" s="10" t="n">
        <v>234</v>
      </c>
      <c r="V219" s="9" t="inlineStr">
        <is>
          <t>Partner pickup</t>
        </is>
      </c>
    </row>
    <row r="220">
      <c r="A220" s="7" t="inlineStr">
        <is>
          <t>AP-31605</t>
        </is>
      </c>
      <c r="B220" s="23" t="n">
        <v>46264</v>
      </c>
      <c r="C220" s="7">
        <f>TEXT(B220,"yyyy-mm")</f>
        <v/>
      </c>
      <c r="D220" s="7" t="inlineStr">
        <is>
          <t>NLG-027</t>
        </is>
      </c>
      <c r="E220" s="9" t="inlineStr">
        <is>
          <t>Northlight Group</t>
        </is>
      </c>
      <c r="F220" s="9" t="inlineStr">
        <is>
          <t>Central Florida</t>
        </is>
      </c>
      <c r="G220" s="9" t="inlineStr">
        <is>
          <t>Lakeland</t>
        </is>
      </c>
      <c r="H220" s="9" t="inlineStr">
        <is>
          <t>Meridian Field Kit</t>
        </is>
      </c>
      <c r="I220" s="10" t="n">
        <v>5</v>
      </c>
      <c r="J220" s="16" t="n">
        <v>1240</v>
      </c>
      <c r="K220" s="18" t="n">
        <v>0</v>
      </c>
      <c r="L220" s="16">
        <f>I220*J220</f>
        <v/>
      </c>
      <c r="M220" s="16">
        <f>ROUND(L220*(1-K220),2)</f>
        <v/>
      </c>
      <c r="N220" s="16" t="n">
        <v>806</v>
      </c>
      <c r="O220" s="16">
        <f>I220*N220</f>
        <v/>
      </c>
      <c r="P220" s="18">
        <f>IFERROR((M220-O220)/M220,0)</f>
        <v/>
      </c>
      <c r="Q220" s="16" t="n">
        <v>187.36</v>
      </c>
      <c r="R220" s="9" t="inlineStr">
        <is>
          <t>Partner</t>
        </is>
      </c>
      <c r="S220" s="9" t="inlineStr">
        <is>
          <t>Jordan Vale</t>
        </is>
      </c>
      <c r="T220" s="9" t="inlineStr">
        <is>
          <t>Invoiced</t>
        </is>
      </c>
      <c r="U220" s="10" t="n">
        <v>235</v>
      </c>
      <c r="V220" s="9" t="inlineStr">
        <is>
          <t>Renewal</t>
        </is>
      </c>
    </row>
    <row r="221">
      <c r="A221" s="7" t="inlineStr">
        <is>
          <t>AP-31612</t>
        </is>
      </c>
      <c r="B221" s="23" t="n">
        <v>46227</v>
      </c>
      <c r="C221" s="7">
        <f>TEXT(B221,"yyyy-mm")</f>
        <v/>
      </c>
      <c r="D221" s="7" t="inlineStr">
        <is>
          <t>DIR-000</t>
        </is>
      </c>
      <c r="E221" s="9" t="inlineStr">
        <is>
          <t>Apex Instruments direct</t>
        </is>
      </c>
      <c r="F221" s="9" t="inlineStr">
        <is>
          <t>House</t>
        </is>
      </c>
      <c r="G221" s="9" t="inlineStr">
        <is>
          <t>Tampa</t>
        </is>
      </c>
      <c r="H221" s="9" t="inlineStr">
        <is>
          <t>On-site training</t>
        </is>
      </c>
      <c r="I221" s="10" t="n">
        <v>1</v>
      </c>
      <c r="J221" s="16" t="n">
        <v>650</v>
      </c>
      <c r="K221" s="18" t="n">
        <v>0</v>
      </c>
      <c r="L221" s="16">
        <f>I221*J221</f>
        <v/>
      </c>
      <c r="M221" s="16">
        <f>ROUND(L221*(1-K221),2)</f>
        <v/>
      </c>
      <c r="N221" s="16" t="n">
        <v>429</v>
      </c>
      <c r="O221" s="16">
        <f>I221*N221</f>
        <v/>
      </c>
      <c r="P221" s="18">
        <f>IFERROR((M221-O221)/M221,0)</f>
        <v/>
      </c>
      <c r="Q221" s="16" t="n">
        <v>0</v>
      </c>
      <c r="R221" s="9" t="inlineStr">
        <is>
          <t>Direct</t>
        </is>
      </c>
      <c r="S221" s="9" t="inlineStr">
        <is>
          <t>Sami Torres</t>
        </is>
      </c>
      <c r="T221" s="9" t="inlineStr">
        <is>
          <t>Invoiced</t>
        </is>
      </c>
      <c r="U221" s="10" t="n">
        <v>236</v>
      </c>
      <c r="V221" s="9" t="inlineStr">
        <is>
          <t>Backorder cleared</t>
        </is>
      </c>
    </row>
    <row r="222">
      <c r="A222" s="7" t="inlineStr">
        <is>
          <t>AP-31617</t>
        </is>
      </c>
      <c r="B222" s="23" t="n">
        <v>46235</v>
      </c>
      <c r="C222" s="7">
        <f>TEXT(B222,"yyyy-mm")</f>
        <v/>
      </c>
      <c r="D222" s="7" t="inlineStr">
        <is>
          <t>NLG-031</t>
        </is>
      </c>
      <c r="E222" s="9" t="inlineStr">
        <is>
          <t>Northlight Group</t>
        </is>
      </c>
      <c r="F222" s="9" t="inlineStr">
        <is>
          <t>Gulf Coast</t>
        </is>
      </c>
      <c r="G222" s="9" t="inlineStr">
        <is>
          <t>Sarasota</t>
        </is>
      </c>
      <c r="H222" s="9" t="inlineStr">
        <is>
          <t>Atlas Care Plus</t>
        </is>
      </c>
      <c r="I222" s="10" t="n">
        <v>8</v>
      </c>
      <c r="J222" s="16" t="n">
        <v>1788</v>
      </c>
      <c r="K222" s="18" t="n">
        <v>0.05</v>
      </c>
      <c r="L222" s="16">
        <f>I222*J222</f>
        <v/>
      </c>
      <c r="M222" s="16">
        <f>ROUND(L222*(1-K222),2)</f>
        <v/>
      </c>
      <c r="N222" s="16" t="n">
        <v>447</v>
      </c>
      <c r="O222" s="16">
        <f>I222*N222</f>
        <v/>
      </c>
      <c r="P222" s="18">
        <f>IFERROR((M222-O222)/M222,0)</f>
        <v/>
      </c>
      <c r="Q222" s="16" t="n">
        <v>0</v>
      </c>
      <c r="R222" s="9" t="inlineStr">
        <is>
          <t>Partner</t>
        </is>
      </c>
      <c r="S222" s="9" t="inlineStr">
        <is>
          <t>Avery Kellen</t>
        </is>
      </c>
      <c r="T222" s="9" t="inlineStr">
        <is>
          <t>Shipped</t>
        </is>
      </c>
      <c r="U222" s="10" t="n">
        <v>237</v>
      </c>
      <c r="V222" s="9" t="inlineStr"/>
    </row>
    <row r="223">
      <c r="A223" s="7" t="inlineStr">
        <is>
          <t>AP-31626</t>
        </is>
      </c>
      <c r="B223" s="23" t="n">
        <v>46227</v>
      </c>
      <c r="C223" s="7">
        <f>TEXT(B223,"yyyy-mm")</f>
        <v/>
      </c>
      <c r="D223" s="7" t="inlineStr">
        <is>
          <t>NLG-027</t>
        </is>
      </c>
      <c r="E223" s="9" t="inlineStr">
        <is>
          <t>Northlight Group</t>
        </is>
      </c>
      <c r="F223" s="9" t="inlineStr">
        <is>
          <t>Central Florida</t>
        </is>
      </c>
      <c r="G223" s="9" t="inlineStr">
        <is>
          <t>Lakeland</t>
        </is>
      </c>
      <c r="H223" s="9" t="inlineStr">
        <is>
          <t>Calibration service</t>
        </is>
      </c>
      <c r="I223" s="10" t="n">
        <v>6</v>
      </c>
      <c r="J223" s="16" t="n">
        <v>180</v>
      </c>
      <c r="K223" s="18" t="n">
        <v>0.08</v>
      </c>
      <c r="L223" s="16">
        <f>I223*J223</f>
        <v/>
      </c>
      <c r="M223" s="16">
        <f>ROUND(L223*(1-K223),2)</f>
        <v/>
      </c>
      <c r="N223" s="16" t="n">
        <v>99</v>
      </c>
      <c r="O223" s="16">
        <f>I223*N223</f>
        <v/>
      </c>
      <c r="P223" s="18">
        <f>IFERROR((M223-O223)/M223,0)</f>
        <v/>
      </c>
      <c r="Q223" s="16" t="n">
        <v>0</v>
      </c>
      <c r="R223" s="9" t="inlineStr">
        <is>
          <t>Partner</t>
        </is>
      </c>
      <c r="S223" s="9" t="inlineStr">
        <is>
          <t>Avery Kellen</t>
        </is>
      </c>
      <c r="T223" s="9" t="inlineStr">
        <is>
          <t>Invoiced</t>
        </is>
      </c>
      <c r="U223" s="10" t="n">
        <v>238</v>
      </c>
      <c r="V223" s="9" t="inlineStr"/>
    </row>
    <row r="224">
      <c r="A224" s="7" t="inlineStr">
        <is>
          <t>AP-31640</t>
        </is>
      </c>
      <c r="B224" s="23" t="n">
        <v>46248</v>
      </c>
      <c r="C224" s="7">
        <f>TEXT(B224,"yyyy-mm")</f>
        <v/>
      </c>
      <c r="D224" s="7" t="inlineStr">
        <is>
          <t>NLG-036</t>
        </is>
      </c>
      <c r="E224" s="9" t="inlineStr">
        <is>
          <t>Northlight Group</t>
        </is>
      </c>
      <c r="F224" s="9" t="inlineStr">
        <is>
          <t>Gulf Coast</t>
        </is>
      </c>
      <c r="G224" s="9" t="inlineStr">
        <is>
          <t>Clearwater</t>
        </is>
      </c>
      <c r="H224" s="9" t="inlineStr">
        <is>
          <t>Calibration service</t>
        </is>
      </c>
      <c r="I224" s="10" t="n">
        <v>2</v>
      </c>
      <c r="J224" s="16" t="n">
        <v>180</v>
      </c>
      <c r="K224" s="18" t="n">
        <v>0.05</v>
      </c>
      <c r="L224" s="16">
        <f>I224*J224</f>
        <v/>
      </c>
      <c r="M224" s="16">
        <f>ROUND(L224*(1-K224),2)</f>
        <v/>
      </c>
      <c r="N224" s="16" t="n">
        <v>99</v>
      </c>
      <c r="O224" s="16">
        <f>I224*N224</f>
        <v/>
      </c>
      <c r="P224" s="18">
        <f>IFERROR((M224-O224)/M224,0)</f>
        <v/>
      </c>
      <c r="Q224" s="16" t="n">
        <v>0</v>
      </c>
      <c r="R224" s="9" t="inlineStr">
        <is>
          <t>Partner</t>
        </is>
      </c>
      <c r="S224" s="9" t="inlineStr">
        <is>
          <t>Jordan Vale</t>
        </is>
      </c>
      <c r="T224" s="9" t="inlineStr">
        <is>
          <t>Shipped</t>
        </is>
      </c>
      <c r="U224" s="10" t="n">
        <v>240</v>
      </c>
      <c r="V224" s="9" t="inlineStr">
        <is>
          <t>Backorder cleared</t>
        </is>
      </c>
    </row>
    <row r="225">
      <c r="A225" s="7" t="inlineStr">
        <is>
          <t>AP-31648</t>
        </is>
      </c>
      <c r="B225" s="23" t="n">
        <v>46284</v>
      </c>
      <c r="C225" s="7">
        <f>TEXT(B225,"yyyy-mm")</f>
        <v/>
      </c>
      <c r="D225" s="7" t="inlineStr">
        <is>
          <t>NLG-022</t>
        </is>
      </c>
      <c r="E225" s="9" t="inlineStr">
        <is>
          <t>Northlight Group</t>
        </is>
      </c>
      <c r="F225" s="9" t="inlineStr">
        <is>
          <t>Central Florida</t>
        </is>
      </c>
      <c r="G225" s="9" t="inlineStr">
        <is>
          <t>Orlando</t>
        </is>
      </c>
      <c r="H225" s="9" t="inlineStr">
        <is>
          <t>Atlas Care Plus</t>
        </is>
      </c>
      <c r="I225" s="10" t="n">
        <v>11</v>
      </c>
      <c r="J225" s="16" t="n">
        <v>1788</v>
      </c>
      <c r="K225" s="18" t="n">
        <v>0</v>
      </c>
      <c r="L225" s="16">
        <f>I225*J225</f>
        <v/>
      </c>
      <c r="M225" s="16">
        <f>ROUND(L225*(1-K225),2)</f>
        <v/>
      </c>
      <c r="N225" s="16" t="n">
        <v>447</v>
      </c>
      <c r="O225" s="16">
        <f>I225*N225</f>
        <v/>
      </c>
      <c r="P225" s="18">
        <f>IFERROR((M225-O225)/M225,0)</f>
        <v/>
      </c>
      <c r="Q225" s="16" t="n">
        <v>0</v>
      </c>
      <c r="R225" s="9" t="inlineStr">
        <is>
          <t>Partner</t>
        </is>
      </c>
      <c r="S225" s="9" t="inlineStr">
        <is>
          <t>Sami Torres</t>
        </is>
      </c>
      <c r="T225" s="9" t="inlineStr">
        <is>
          <t>Shipped</t>
        </is>
      </c>
      <c r="U225" s="10" t="n">
        <v>241</v>
      </c>
      <c r="V225" s="9" t="inlineStr"/>
    </row>
    <row r="226">
      <c r="A226" s="7" t="inlineStr">
        <is>
          <t>AP-31656</t>
        </is>
      </c>
      <c r="B226" s="23" t="n">
        <v>46217</v>
      </c>
      <c r="C226" s="7">
        <f>TEXT(B226,"yyyy-mm")</f>
        <v/>
      </c>
      <c r="D226" s="7" t="inlineStr">
        <is>
          <t>NLG-036</t>
        </is>
      </c>
      <c r="E226" s="9" t="inlineStr">
        <is>
          <t>Northlight Group</t>
        </is>
      </c>
      <c r="F226" s="9" t="inlineStr">
        <is>
          <t>Gulf Coast</t>
        </is>
      </c>
      <c r="G226" s="9" t="inlineStr">
        <is>
          <t>Clearwater</t>
        </is>
      </c>
      <c r="H226" s="9" t="inlineStr">
        <is>
          <t>Meridian Field Kit</t>
        </is>
      </c>
      <c r="I226" s="10" t="n">
        <v>2</v>
      </c>
      <c r="J226" s="16" t="n">
        <v>1240</v>
      </c>
      <c r="K226" s="18" t="n">
        <v>0.1</v>
      </c>
      <c r="L226" s="16">
        <f>I226*J226</f>
        <v/>
      </c>
      <c r="M226" s="16">
        <f>ROUND(L226*(1-K226),2)</f>
        <v/>
      </c>
      <c r="N226" s="16" t="n">
        <v>806</v>
      </c>
      <c r="O226" s="16">
        <f>I226*N226</f>
        <v/>
      </c>
      <c r="P226" s="18">
        <f>IFERROR((M226-O226)/M226,0)</f>
        <v/>
      </c>
      <c r="Q226" s="16" t="n">
        <v>103.24</v>
      </c>
      <c r="R226" s="9" t="inlineStr">
        <is>
          <t>Partner</t>
        </is>
      </c>
      <c r="S226" s="9" t="inlineStr">
        <is>
          <t>Jordan Vale</t>
        </is>
      </c>
      <c r="T226" s="9" t="inlineStr">
        <is>
          <t>Open</t>
        </is>
      </c>
      <c r="U226" s="10" t="n">
        <v>242</v>
      </c>
      <c r="V226" s="9" t="inlineStr">
        <is>
          <t>Renewal</t>
        </is>
      </c>
    </row>
    <row r="227">
      <c r="A227" s="7" t="inlineStr">
        <is>
          <t>AP-31661</t>
        </is>
      </c>
      <c r="B227" s="23" t="n">
        <v>46292</v>
      </c>
      <c r="C227" s="7">
        <f>TEXT(B227,"yyyy-mm")</f>
        <v/>
      </c>
      <c r="D227" s="7" t="inlineStr">
        <is>
          <t>NLG-036</t>
        </is>
      </c>
      <c r="E227" s="9" t="inlineStr">
        <is>
          <t>Northlight Group</t>
        </is>
      </c>
      <c r="F227" s="9" t="inlineStr">
        <is>
          <t>Gulf Coast</t>
        </is>
      </c>
      <c r="G227" s="9" t="inlineStr">
        <is>
          <t>Clearwater</t>
        </is>
      </c>
      <c r="H227" s="9" t="inlineStr">
        <is>
          <t>Atlas Care Plus</t>
        </is>
      </c>
      <c r="I227" s="10" t="n">
        <v>2</v>
      </c>
      <c r="J227" s="16" t="n">
        <v>1788</v>
      </c>
      <c r="K227" s="18" t="n">
        <v>0.1</v>
      </c>
      <c r="L227" s="16">
        <f>I227*J227</f>
        <v/>
      </c>
      <c r="M227" s="16">
        <f>ROUND(L227*(1-K227),2)</f>
        <v/>
      </c>
      <c r="N227" s="16" t="n">
        <v>447</v>
      </c>
      <c r="O227" s="16">
        <f>I227*N227</f>
        <v/>
      </c>
      <c r="P227" s="18">
        <f>IFERROR((M227-O227)/M227,0)</f>
        <v/>
      </c>
      <c r="Q227" s="16" t="n">
        <v>0</v>
      </c>
      <c r="R227" s="9" t="inlineStr">
        <is>
          <t>Partner</t>
        </is>
      </c>
      <c r="S227" s="9" t="inlineStr">
        <is>
          <t>Avery Kellen</t>
        </is>
      </c>
      <c r="T227" s="9" t="inlineStr">
        <is>
          <t>Shipped</t>
        </is>
      </c>
      <c r="U227" s="10" t="n">
        <v>243</v>
      </c>
      <c r="V227" s="9" t="inlineStr"/>
    </row>
    <row r="228">
      <c r="A228" s="7" t="inlineStr">
        <is>
          <t>AP-31668</t>
        </is>
      </c>
      <c r="B228" s="23" t="n">
        <v>46270</v>
      </c>
      <c r="C228" s="7">
        <f>TEXT(B228,"yyyy-mm")</f>
        <v/>
      </c>
      <c r="D228" s="7" t="inlineStr">
        <is>
          <t>DIR-000</t>
        </is>
      </c>
      <c r="E228" s="9" t="inlineStr">
        <is>
          <t>Apex Instruments direct</t>
        </is>
      </c>
      <c r="F228" s="9" t="inlineStr">
        <is>
          <t>House</t>
        </is>
      </c>
      <c r="G228" s="9" t="inlineStr">
        <is>
          <t>Tampa</t>
        </is>
      </c>
      <c r="H228" s="9" t="inlineStr">
        <is>
          <t>On-site training</t>
        </is>
      </c>
      <c r="I228" s="10" t="n">
        <v>3</v>
      </c>
      <c r="J228" s="16" t="n">
        <v>650</v>
      </c>
      <c r="K228" s="18" t="n">
        <v>0</v>
      </c>
      <c r="L228" s="16">
        <f>I228*J228</f>
        <v/>
      </c>
      <c r="M228" s="16">
        <f>ROUND(L228*(1-K228),2)</f>
        <v/>
      </c>
      <c r="N228" s="16" t="n">
        <v>429</v>
      </c>
      <c r="O228" s="16">
        <f>I228*N228</f>
        <v/>
      </c>
      <c r="P228" s="18">
        <f>IFERROR((M228-O228)/M228,0)</f>
        <v/>
      </c>
      <c r="Q228" s="16" t="n">
        <v>0</v>
      </c>
      <c r="R228" s="9" t="inlineStr">
        <is>
          <t>Direct</t>
        </is>
      </c>
      <c r="S228" s="9" t="inlineStr">
        <is>
          <t>Avery Kellen</t>
        </is>
      </c>
      <c r="T228" s="9" t="inlineStr">
        <is>
          <t>Invoiced</t>
        </is>
      </c>
      <c r="U228" s="10" t="n">
        <v>244</v>
      </c>
      <c r="V228" s="9" t="inlineStr">
        <is>
          <t>Replaces damaged unit</t>
        </is>
      </c>
    </row>
    <row r="229">
      <c r="A229" s="7" t="inlineStr">
        <is>
          <t>AP-31674</t>
        </is>
      </c>
      <c r="B229" s="23" t="n">
        <v>46246</v>
      </c>
      <c r="C229" s="7">
        <f>TEXT(B229,"yyyy-mm")</f>
        <v/>
      </c>
      <c r="D229" s="7" t="inlineStr">
        <is>
          <t>NLG-031</t>
        </is>
      </c>
      <c r="E229" s="9" t="inlineStr">
        <is>
          <t>Northlight Group</t>
        </is>
      </c>
      <c r="F229" s="9" t="inlineStr">
        <is>
          <t>Gulf Coast</t>
        </is>
      </c>
      <c r="G229" s="9" t="inlineStr">
        <is>
          <t>Sarasota</t>
        </is>
      </c>
      <c r="H229" s="9" t="inlineStr">
        <is>
          <t>Calibration service</t>
        </is>
      </c>
      <c r="I229" s="10" t="n">
        <v>5</v>
      </c>
      <c r="J229" s="16" t="n">
        <v>180</v>
      </c>
      <c r="K229" s="18" t="n">
        <v>0</v>
      </c>
      <c r="L229" s="16">
        <f>I229*J229</f>
        <v/>
      </c>
      <c r="M229" s="16">
        <f>ROUND(L229*(1-K229),2)</f>
        <v/>
      </c>
      <c r="N229" s="16" t="n">
        <v>99</v>
      </c>
      <c r="O229" s="16">
        <f>I229*N229</f>
        <v/>
      </c>
      <c r="P229" s="18">
        <f>IFERROR((M229-O229)/M229,0)</f>
        <v/>
      </c>
      <c r="Q229" s="16" t="n">
        <v>0</v>
      </c>
      <c r="R229" s="9" t="inlineStr">
        <is>
          <t>Partner</t>
        </is>
      </c>
      <c r="S229" s="9" t="inlineStr">
        <is>
          <t>Sami Torres</t>
        </is>
      </c>
      <c r="T229" s="9" t="inlineStr">
        <is>
          <t>Open</t>
        </is>
      </c>
      <c r="U229" s="10" t="n">
        <v>245</v>
      </c>
      <c r="V229" s="9" t="inlineStr">
        <is>
          <t>Renewal</t>
        </is>
      </c>
    </row>
    <row r="230">
      <c r="A230" s="7" t="inlineStr">
        <is>
          <t>AP-31680</t>
        </is>
      </c>
      <c r="B230" s="23" t="n">
        <v>46279</v>
      </c>
      <c r="C230" s="7">
        <f>TEXT(B230,"yyyy-mm")</f>
        <v/>
      </c>
      <c r="D230" s="7" t="inlineStr">
        <is>
          <t>NLG-014</t>
        </is>
      </c>
      <c r="E230" s="9" t="inlineStr">
        <is>
          <t>Northlight Group</t>
        </is>
      </c>
      <c r="F230" s="9" t="inlineStr">
        <is>
          <t>Gulf Coast</t>
        </is>
      </c>
      <c r="G230" s="9" t="inlineStr">
        <is>
          <t>St. Petersburg</t>
        </is>
      </c>
      <c r="H230" s="9" t="inlineStr">
        <is>
          <t>Calibration service</t>
        </is>
      </c>
      <c r="I230" s="10" t="n">
        <v>1</v>
      </c>
      <c r="J230" s="16" t="n">
        <v>180</v>
      </c>
      <c r="K230" s="18" t="n">
        <v>0</v>
      </c>
      <c r="L230" s="16">
        <f>I230*J230</f>
        <v/>
      </c>
      <c r="M230" s="16">
        <f>ROUND(L230*(1-K230),2)</f>
        <v/>
      </c>
      <c r="N230" s="16" t="n">
        <v>99</v>
      </c>
      <c r="O230" s="16">
        <f>I230*N230</f>
        <v/>
      </c>
      <c r="P230" s="18">
        <f>IFERROR((M230-O230)/M230,0)</f>
        <v/>
      </c>
      <c r="Q230" s="16" t="n">
        <v>0</v>
      </c>
      <c r="R230" s="9" t="inlineStr">
        <is>
          <t>Partner</t>
        </is>
      </c>
      <c r="S230" s="9" t="inlineStr">
        <is>
          <t>Sami Torres</t>
        </is>
      </c>
      <c r="T230" s="9" t="inlineStr">
        <is>
          <t>Shipped</t>
        </is>
      </c>
      <c r="U230" s="10" t="n">
        <v>246</v>
      </c>
      <c r="V230" s="9" t="inlineStr">
        <is>
          <t>Quote 2026-Q3 pricing</t>
        </is>
      </c>
    </row>
    <row r="231">
      <c r="A231" s="7" t="inlineStr">
        <is>
          <t>AP-31687</t>
        </is>
      </c>
      <c r="B231" s="23" t="n">
        <v>46283</v>
      </c>
      <c r="C231" s="7">
        <f>TEXT(B231,"yyyy-mm")</f>
        <v/>
      </c>
      <c r="D231" s="7" t="inlineStr">
        <is>
          <t>NLG-044</t>
        </is>
      </c>
      <c r="E231" s="9" t="inlineStr">
        <is>
          <t>Northlight Group</t>
        </is>
      </c>
      <c r="F231" s="9" t="inlineStr">
        <is>
          <t>Central Florida</t>
        </is>
      </c>
      <c r="G231" s="9" t="inlineStr">
        <is>
          <t>Brandon</t>
        </is>
      </c>
      <c r="H231" s="9" t="inlineStr">
        <is>
          <t>Atlas Care Plus</t>
        </is>
      </c>
      <c r="I231" s="10" t="n">
        <v>8</v>
      </c>
      <c r="J231" s="16" t="n">
        <v>1788</v>
      </c>
      <c r="K231" s="18" t="n">
        <v>0</v>
      </c>
      <c r="L231" s="16">
        <f>I231*J231</f>
        <v/>
      </c>
      <c r="M231" s="16">
        <f>ROUND(L231*(1-K231),2)</f>
        <v/>
      </c>
      <c r="N231" s="16" t="n">
        <v>447</v>
      </c>
      <c r="O231" s="16">
        <f>I231*N231</f>
        <v/>
      </c>
      <c r="P231" s="18">
        <f>IFERROR((M231-O231)/M231,0)</f>
        <v/>
      </c>
      <c r="Q231" s="16" t="n">
        <v>0</v>
      </c>
      <c r="R231" s="9" t="inlineStr">
        <is>
          <t>Partner</t>
        </is>
      </c>
      <c r="S231" s="9" t="inlineStr">
        <is>
          <t>Jordan Vale</t>
        </is>
      </c>
      <c r="T231" s="9" t="inlineStr">
        <is>
          <t>Shipped</t>
        </is>
      </c>
      <c r="U231" s="10" t="n">
        <v>247</v>
      </c>
      <c r="V231" s="9" t="inlineStr"/>
    </row>
    <row r="232">
      <c r="A232" s="7" t="inlineStr">
        <is>
          <t>AP-31696</t>
        </is>
      </c>
      <c r="B232" s="23" t="n">
        <v>46272</v>
      </c>
      <c r="C232" s="7">
        <f>TEXT(B232,"yyyy-mm")</f>
        <v/>
      </c>
      <c r="D232" s="7" t="inlineStr">
        <is>
          <t>NLG-044</t>
        </is>
      </c>
      <c r="E232" s="9" t="inlineStr">
        <is>
          <t>Northlight Group</t>
        </is>
      </c>
      <c r="F232" s="9" t="inlineStr">
        <is>
          <t>Central Florida</t>
        </is>
      </c>
      <c r="G232" s="9" t="inlineStr">
        <is>
          <t>Brandon</t>
        </is>
      </c>
      <c r="H232" s="9" t="inlineStr">
        <is>
          <t>Meridian Field Kit</t>
        </is>
      </c>
      <c r="I232" s="10" t="n">
        <v>5</v>
      </c>
      <c r="J232" s="16" t="n">
        <v>1240</v>
      </c>
      <c r="K232" s="18" t="n">
        <v>0.05</v>
      </c>
      <c r="L232" s="16">
        <f>I232*J232</f>
        <v/>
      </c>
      <c r="M232" s="16">
        <f>ROUND(L232*(1-K232),2)</f>
        <v/>
      </c>
      <c r="N232" s="16" t="n">
        <v>806</v>
      </c>
      <c r="O232" s="16">
        <f>I232*N232</f>
        <v/>
      </c>
      <c r="P232" s="18">
        <f>IFERROR((M232-O232)/M232,0)</f>
        <v/>
      </c>
      <c r="Q232" s="16" t="n">
        <v>50.88</v>
      </c>
      <c r="R232" s="9" t="inlineStr">
        <is>
          <t>Partner</t>
        </is>
      </c>
      <c r="S232" s="9" t="inlineStr">
        <is>
          <t>Sami Torres</t>
        </is>
      </c>
      <c r="T232" s="9" t="inlineStr">
        <is>
          <t>Shipped</t>
        </is>
      </c>
      <c r="U232" s="10" t="n">
        <v>248</v>
      </c>
      <c r="V232" s="9" t="inlineStr">
        <is>
          <t>Rush requested</t>
        </is>
      </c>
    </row>
    <row r="233">
      <c r="A233" s="7" t="inlineStr">
        <is>
          <t>AP-31704</t>
        </is>
      </c>
      <c r="B233" s="23" t="n">
        <v>46252</v>
      </c>
      <c r="C233" s="7">
        <f>TEXT(B233,"yyyy-mm")</f>
        <v/>
      </c>
      <c r="D233" s="7" t="inlineStr">
        <is>
          <t>NLG-031</t>
        </is>
      </c>
      <c r="E233" s="9" t="inlineStr">
        <is>
          <t>Northlight Group</t>
        </is>
      </c>
      <c r="F233" s="9" t="inlineStr">
        <is>
          <t>Gulf Coast</t>
        </is>
      </c>
      <c r="G233" s="9" t="inlineStr">
        <is>
          <t>Sarasota</t>
        </is>
      </c>
      <c r="H233" s="9" t="inlineStr">
        <is>
          <t>Atlas Care Plus</t>
        </is>
      </c>
      <c r="I233" s="10" t="n">
        <v>3</v>
      </c>
      <c r="J233" s="16" t="n">
        <v>1788</v>
      </c>
      <c r="K233" s="18" t="n">
        <v>0</v>
      </c>
      <c r="L233" s="16">
        <f>I233*J233</f>
        <v/>
      </c>
      <c r="M233" s="16">
        <f>ROUND(L233*(1-K233),2)</f>
        <v/>
      </c>
      <c r="N233" s="16" t="n">
        <v>447</v>
      </c>
      <c r="O233" s="16">
        <f>I233*N233</f>
        <v/>
      </c>
      <c r="P233" s="18">
        <f>IFERROR((M233-O233)/M233,0)</f>
        <v/>
      </c>
      <c r="Q233" s="16" t="n">
        <v>0</v>
      </c>
      <c r="R233" s="9" t="inlineStr">
        <is>
          <t>Partner</t>
        </is>
      </c>
      <c r="S233" s="9" t="inlineStr">
        <is>
          <t>Avery Kellen</t>
        </is>
      </c>
      <c r="T233" s="9" t="inlineStr">
        <is>
          <t>Shipped</t>
        </is>
      </c>
      <c r="U233" s="10" t="n">
        <v>249</v>
      </c>
      <c r="V233" s="9" t="inlineStr">
        <is>
          <t>Split shipment</t>
        </is>
      </c>
    </row>
    <row r="234">
      <c r="A234" s="7" t="inlineStr">
        <is>
          <t>AP-31709</t>
        </is>
      </c>
      <c r="B234" s="23" t="n">
        <v>46215</v>
      </c>
      <c r="C234" s="7">
        <f>TEXT(B234,"yyyy-mm")</f>
        <v/>
      </c>
      <c r="D234" s="7" t="inlineStr">
        <is>
          <t>NLG-031</t>
        </is>
      </c>
      <c r="E234" s="9" t="inlineStr">
        <is>
          <t>Northlight Group</t>
        </is>
      </c>
      <c r="F234" s="9" t="inlineStr">
        <is>
          <t>Gulf Coast</t>
        </is>
      </c>
      <c r="G234" s="9" t="inlineStr">
        <is>
          <t>Sarasota</t>
        </is>
      </c>
      <c r="H234" s="9" t="inlineStr">
        <is>
          <t>Atlas Care Plus</t>
        </is>
      </c>
      <c r="I234" s="10" t="n">
        <v>5</v>
      </c>
      <c r="J234" s="16" t="n">
        <v>1788</v>
      </c>
      <c r="K234" s="18" t="n">
        <v>0.05</v>
      </c>
      <c r="L234" s="16">
        <f>I234*J234</f>
        <v/>
      </c>
      <c r="M234" s="16">
        <f>ROUND(L234*(1-K234),2)</f>
        <v/>
      </c>
      <c r="N234" s="16" t="n">
        <v>447</v>
      </c>
      <c r="O234" s="16">
        <f>I234*N234</f>
        <v/>
      </c>
      <c r="P234" s="18">
        <f>IFERROR((M234-O234)/M234,0)</f>
        <v/>
      </c>
      <c r="Q234" s="16" t="n">
        <v>0</v>
      </c>
      <c r="R234" s="9" t="inlineStr">
        <is>
          <t>Partner</t>
        </is>
      </c>
      <c r="S234" s="9" t="inlineStr">
        <is>
          <t>Jordan Vale</t>
        </is>
      </c>
      <c r="T234" s="9" t="inlineStr">
        <is>
          <t>Shipped</t>
        </is>
      </c>
      <c r="U234" s="10" t="n">
        <v>250</v>
      </c>
      <c r="V234" s="9" t="inlineStr">
        <is>
          <t>Rush requested</t>
        </is>
      </c>
    </row>
    <row r="235">
      <c r="A235" s="7" t="inlineStr">
        <is>
          <t>AP-31715</t>
        </is>
      </c>
      <c r="B235" s="23" t="n">
        <v>46208</v>
      </c>
      <c r="C235" s="7">
        <f>TEXT(B235,"yyyy-mm")</f>
        <v/>
      </c>
      <c r="D235" s="7" t="inlineStr">
        <is>
          <t>NLG-022</t>
        </is>
      </c>
      <c r="E235" s="9" t="inlineStr">
        <is>
          <t>Northlight Group</t>
        </is>
      </c>
      <c r="F235" s="9" t="inlineStr">
        <is>
          <t>Central Florida</t>
        </is>
      </c>
      <c r="G235" s="9" t="inlineStr">
        <is>
          <t>Orlando</t>
        </is>
      </c>
      <c r="H235" s="9" t="inlineStr">
        <is>
          <t>Calibration service</t>
        </is>
      </c>
      <c r="I235" s="10" t="n">
        <v>1</v>
      </c>
      <c r="J235" s="16" t="n">
        <v>180</v>
      </c>
      <c r="K235" s="18" t="n">
        <v>0</v>
      </c>
      <c r="L235" s="16">
        <f>I235*J235</f>
        <v/>
      </c>
      <c r="M235" s="16">
        <f>ROUND(L235*(1-K235),2)</f>
        <v/>
      </c>
      <c r="N235" s="16" t="n">
        <v>99</v>
      </c>
      <c r="O235" s="16">
        <f>I235*N235</f>
        <v/>
      </c>
      <c r="P235" s="18">
        <f>IFERROR((M235-O235)/M235,0)</f>
        <v/>
      </c>
      <c r="Q235" s="16" t="n">
        <v>0</v>
      </c>
      <c r="R235" s="9" t="inlineStr">
        <is>
          <t>Partner</t>
        </is>
      </c>
      <c r="S235" s="9" t="inlineStr">
        <is>
          <t>Jordan Vale</t>
        </is>
      </c>
      <c r="T235" s="9" t="inlineStr">
        <is>
          <t>Shipped</t>
        </is>
      </c>
      <c r="U235" s="10" t="n">
        <v>251</v>
      </c>
      <c r="V235" s="9" t="inlineStr"/>
    </row>
    <row r="236">
      <c r="A236" s="7" t="inlineStr">
        <is>
          <t>AP-31722</t>
        </is>
      </c>
      <c r="B236" s="23" t="n">
        <v>46264</v>
      </c>
      <c r="C236" s="7">
        <f>TEXT(B236,"yyyy-mm")</f>
        <v/>
      </c>
      <c r="D236" s="7" t="inlineStr">
        <is>
          <t>DIR-000</t>
        </is>
      </c>
      <c r="E236" s="9" t="inlineStr">
        <is>
          <t>Apex Instruments direct</t>
        </is>
      </c>
      <c r="F236" s="9" t="inlineStr">
        <is>
          <t>House</t>
        </is>
      </c>
      <c r="G236" s="9" t="inlineStr">
        <is>
          <t>Tampa</t>
        </is>
      </c>
      <c r="H236" s="9" t="inlineStr">
        <is>
          <t>Meridian Field Kit</t>
        </is>
      </c>
      <c r="I236" s="10" t="n">
        <v>6</v>
      </c>
      <c r="J236" s="16" t="n">
        <v>1240</v>
      </c>
      <c r="K236" s="18" t="n">
        <v>0.05</v>
      </c>
      <c r="L236" s="16">
        <f>I236*J236</f>
        <v/>
      </c>
      <c r="M236" s="16">
        <f>ROUND(L236*(1-K236),2)</f>
        <v/>
      </c>
      <c r="N236" s="16" t="n">
        <v>806</v>
      </c>
      <c r="O236" s="16">
        <f>I236*N236</f>
        <v/>
      </c>
      <c r="P236" s="18">
        <f>IFERROR((M236-O236)/M236,0)</f>
        <v/>
      </c>
      <c r="Q236" s="16" t="n">
        <v>120.09</v>
      </c>
      <c r="R236" s="9" t="inlineStr">
        <is>
          <t>Direct</t>
        </is>
      </c>
      <c r="S236" s="9" t="inlineStr">
        <is>
          <t>Jordan Vale</t>
        </is>
      </c>
      <c r="T236" s="9" t="inlineStr">
        <is>
          <t>Shipped</t>
        </is>
      </c>
      <c r="U236" s="10" t="n">
        <v>252</v>
      </c>
      <c r="V236" s="9" t="inlineStr">
        <is>
          <t>Partner pickup</t>
        </is>
      </c>
    </row>
    <row r="237">
      <c r="A237" s="7" t="inlineStr">
        <is>
          <t>AP-31732</t>
        </is>
      </c>
      <c r="B237" s="23" t="n">
        <v>46218</v>
      </c>
      <c r="C237" s="7">
        <f>TEXT(B237,"yyyy-mm")</f>
        <v/>
      </c>
      <c r="D237" s="7" t="inlineStr">
        <is>
          <t>NLG-044</t>
        </is>
      </c>
      <c r="E237" s="9" t="inlineStr">
        <is>
          <t>Northlight Group</t>
        </is>
      </c>
      <c r="F237" s="9" t="inlineStr">
        <is>
          <t>Central Florida</t>
        </is>
      </c>
      <c r="G237" s="9" t="inlineStr">
        <is>
          <t>Brandon</t>
        </is>
      </c>
      <c r="H237" s="9" t="inlineStr">
        <is>
          <t>Calibration service</t>
        </is>
      </c>
      <c r="I237" s="10" t="n">
        <v>2</v>
      </c>
      <c r="J237" s="16" t="n">
        <v>180</v>
      </c>
      <c r="K237" s="18" t="n">
        <v>0</v>
      </c>
      <c r="L237" s="16">
        <f>I237*J237</f>
        <v/>
      </c>
      <c r="M237" s="16">
        <f>ROUND(L237*(1-K237),2)</f>
        <v/>
      </c>
      <c r="N237" s="16" t="n">
        <v>99</v>
      </c>
      <c r="O237" s="16">
        <f>I237*N237</f>
        <v/>
      </c>
      <c r="P237" s="18">
        <f>IFERROR((M237-O237)/M237,0)</f>
        <v/>
      </c>
      <c r="Q237" s="16" t="n">
        <v>0</v>
      </c>
      <c r="R237" s="9" t="inlineStr">
        <is>
          <t>Partner</t>
        </is>
      </c>
      <c r="S237" s="9" t="inlineStr">
        <is>
          <t>Jordan Vale</t>
        </is>
      </c>
      <c r="T237" s="9" t="inlineStr">
        <is>
          <t>Shipped</t>
        </is>
      </c>
      <c r="U237" s="10" t="n">
        <v>253</v>
      </c>
      <c r="V237" s="9" t="inlineStr">
        <is>
          <t>PO on file</t>
        </is>
      </c>
    </row>
    <row r="238">
      <c r="A238" s="7" t="inlineStr">
        <is>
          <t>AP-31736</t>
        </is>
      </c>
      <c r="B238" s="23" t="n">
        <v>46274</v>
      </c>
      <c r="C238" s="7">
        <f>TEXT(B238,"yyyy-mm")</f>
        <v/>
      </c>
      <c r="D238" s="7" t="inlineStr">
        <is>
          <t>NLG-014</t>
        </is>
      </c>
      <c r="E238" s="9" t="inlineStr">
        <is>
          <t>Northlight Group</t>
        </is>
      </c>
      <c r="F238" s="9" t="inlineStr">
        <is>
          <t>Gulf Coast</t>
        </is>
      </c>
      <c r="G238" s="9" t="inlineStr">
        <is>
          <t>St. Petersburg</t>
        </is>
      </c>
      <c r="H238" s="9" t="inlineStr">
        <is>
          <t>Calibration service</t>
        </is>
      </c>
      <c r="I238" s="10" t="n">
        <v>3</v>
      </c>
      <c r="J238" s="16" t="n">
        <v>180</v>
      </c>
      <c r="K238" s="18" t="n">
        <v>0</v>
      </c>
      <c r="L238" s="16">
        <f>I238*J238</f>
        <v/>
      </c>
      <c r="M238" s="16">
        <f>ROUND(L238*(1-K238),2)</f>
        <v/>
      </c>
      <c r="N238" s="16" t="n">
        <v>99</v>
      </c>
      <c r="O238" s="16">
        <f>I238*N238</f>
        <v/>
      </c>
      <c r="P238" s="18">
        <f>IFERROR((M238-O238)/M238,0)</f>
        <v/>
      </c>
      <c r="Q238" s="16" t="n">
        <v>0</v>
      </c>
      <c r="R238" s="9" t="inlineStr">
        <is>
          <t>Partner</t>
        </is>
      </c>
      <c r="S238" s="9" t="inlineStr">
        <is>
          <t>Jordan Vale</t>
        </is>
      </c>
      <c r="T238" s="9" t="inlineStr">
        <is>
          <t>Shipped</t>
        </is>
      </c>
      <c r="U238" s="10" t="n">
        <v>254</v>
      </c>
      <c r="V238" s="9" t="inlineStr">
        <is>
          <t>Backorder cleared</t>
        </is>
      </c>
    </row>
    <row r="239">
      <c r="A239" s="7" t="inlineStr">
        <is>
          <t>AP-31744</t>
        </is>
      </c>
      <c r="B239" s="23" t="n">
        <v>46289</v>
      </c>
      <c r="C239" s="7">
        <f>TEXT(B239,"yyyy-mm")</f>
        <v/>
      </c>
      <c r="D239" s="7" t="inlineStr">
        <is>
          <t>NLG-044</t>
        </is>
      </c>
      <c r="E239" s="9" t="inlineStr">
        <is>
          <t>Northlight Group</t>
        </is>
      </c>
      <c r="F239" s="9" t="inlineStr">
        <is>
          <t>Central Florida</t>
        </is>
      </c>
      <c r="G239" s="9" t="inlineStr">
        <is>
          <t>Brandon</t>
        </is>
      </c>
      <c r="H239" s="9" t="inlineStr">
        <is>
          <t>Meridian Bench</t>
        </is>
      </c>
      <c r="I239" s="10" t="n">
        <v>2</v>
      </c>
      <c r="J239" s="16" t="n">
        <v>4850</v>
      </c>
      <c r="K239" s="18" t="n">
        <v>0.08</v>
      </c>
      <c r="L239" s="16">
        <f>I239*J239</f>
        <v/>
      </c>
      <c r="M239" s="16">
        <f>ROUND(L239*(1-K239),2)</f>
        <v/>
      </c>
      <c r="N239" s="16" t="n">
        <v>2910</v>
      </c>
      <c r="O239" s="16">
        <f>I239*N239</f>
        <v/>
      </c>
      <c r="P239" s="18">
        <f>IFERROR((M239-O239)/M239,0)</f>
        <v/>
      </c>
      <c r="Q239" s="16" t="n">
        <v>179.18</v>
      </c>
      <c r="R239" s="9" t="inlineStr">
        <is>
          <t>Partner</t>
        </is>
      </c>
      <c r="S239" s="9" t="inlineStr">
        <is>
          <t>Sami Torres</t>
        </is>
      </c>
      <c r="T239" s="9" t="inlineStr">
        <is>
          <t>Open</t>
        </is>
      </c>
      <c r="U239" s="10" t="n">
        <v>255</v>
      </c>
      <c r="V239" s="9" t="inlineStr"/>
    </row>
    <row r="240">
      <c r="A240" s="7" t="inlineStr">
        <is>
          <t>AP-31751</t>
        </is>
      </c>
      <c r="B240" s="23" t="n">
        <v>46265</v>
      </c>
      <c r="C240" s="7">
        <f>TEXT(B240,"yyyy-mm")</f>
        <v/>
      </c>
      <c r="D240" s="7" t="inlineStr">
        <is>
          <t>NLG-036</t>
        </is>
      </c>
      <c r="E240" s="9" t="inlineStr">
        <is>
          <t>Northlight Group</t>
        </is>
      </c>
      <c r="F240" s="9" t="inlineStr">
        <is>
          <t>Gulf Coast</t>
        </is>
      </c>
      <c r="G240" s="9" t="inlineStr">
        <is>
          <t>Clearwater</t>
        </is>
      </c>
      <c r="H240" s="9" t="inlineStr">
        <is>
          <t>Meridian Pro</t>
        </is>
      </c>
      <c r="I240" s="10" t="n">
        <v>2</v>
      </c>
      <c r="J240" s="16" t="n">
        <v>7900</v>
      </c>
      <c r="K240" s="18" t="n">
        <v>0.05</v>
      </c>
      <c r="L240" s="16">
        <f>I240*J240</f>
        <v/>
      </c>
      <c r="M240" s="16">
        <f>ROUND(L240*(1-K240),2)</f>
        <v/>
      </c>
      <c r="N240" s="16" t="n">
        <v>4345</v>
      </c>
      <c r="O240" s="16">
        <f>I240*N240</f>
        <v/>
      </c>
      <c r="P240" s="18">
        <f>IFERROR((M240-O240)/M240,0)</f>
        <v/>
      </c>
      <c r="Q240" s="16" t="n">
        <v>171.32</v>
      </c>
      <c r="R240" s="9" t="inlineStr">
        <is>
          <t>Partner</t>
        </is>
      </c>
      <c r="S240" s="9" t="inlineStr">
        <is>
          <t>Avery Kellen</t>
        </is>
      </c>
      <c r="T240" s="9" t="inlineStr">
        <is>
          <t>Shipped</t>
        </is>
      </c>
      <c r="U240" s="10" t="n">
        <v>256</v>
      </c>
      <c r="V240" s="9" t="inlineStr">
        <is>
          <t>Quote 2026-Q3 pricing</t>
        </is>
      </c>
    </row>
    <row r="241">
      <c r="A241" s="7" t="inlineStr">
        <is>
          <t>AP-31760</t>
        </is>
      </c>
      <c r="B241" s="23" t="n">
        <v>46248</v>
      </c>
      <c r="C241" s="7">
        <f>TEXT(B241,"yyyy-mm")</f>
        <v/>
      </c>
      <c r="D241" s="7" t="inlineStr">
        <is>
          <t>NLG-011</t>
        </is>
      </c>
      <c r="E241" s="9" t="inlineStr">
        <is>
          <t>Northlight Group</t>
        </is>
      </c>
      <c r="F241" s="9" t="inlineStr">
        <is>
          <t>Gulf Coast</t>
        </is>
      </c>
      <c r="G241" s="9" t="inlineStr">
        <is>
          <t>Tampa</t>
        </is>
      </c>
      <c r="H241" s="9" t="inlineStr">
        <is>
          <t>Meridian Bench</t>
        </is>
      </c>
      <c r="I241" s="10" t="n">
        <v>1</v>
      </c>
      <c r="J241" s="16" t="n">
        <v>4850</v>
      </c>
      <c r="K241" s="18" t="n">
        <v>0</v>
      </c>
      <c r="L241" s="16">
        <f>I241*J241</f>
        <v/>
      </c>
      <c r="M241" s="16">
        <f>ROUND(L241*(1-K241),2)</f>
        <v/>
      </c>
      <c r="N241" s="16" t="n">
        <v>2910</v>
      </c>
      <c r="O241" s="16">
        <f>I241*N241</f>
        <v/>
      </c>
      <c r="P241" s="18">
        <f>IFERROR((M241-O241)/M241,0)</f>
        <v/>
      </c>
      <c r="Q241" s="16" t="n">
        <v>29.65</v>
      </c>
      <c r="R241" s="9" t="inlineStr">
        <is>
          <t>Partner</t>
        </is>
      </c>
      <c r="S241" s="9" t="inlineStr">
        <is>
          <t>Avery Kellen</t>
        </is>
      </c>
      <c r="T241" s="9" t="inlineStr">
        <is>
          <t>Invoiced</t>
        </is>
      </c>
      <c r="U241" s="10" t="n">
        <v>257</v>
      </c>
      <c r="V241" s="9" t="inlineStr">
        <is>
          <t>Ship with calibration cert</t>
        </is>
      </c>
    </row>
    <row r="242">
      <c r="A242" s="7" t="inlineStr">
        <is>
          <t>AP-31767</t>
        </is>
      </c>
      <c r="B242" s="23" t="n">
        <v>46289</v>
      </c>
      <c r="C242" s="7">
        <f>TEXT(B242,"yyyy-mm")</f>
        <v/>
      </c>
      <c r="D242" s="7" t="inlineStr">
        <is>
          <t>NLG-036</t>
        </is>
      </c>
      <c r="E242" s="9" t="inlineStr">
        <is>
          <t>Northlight Group</t>
        </is>
      </c>
      <c r="F242" s="9" t="inlineStr">
        <is>
          <t>Gulf Coast</t>
        </is>
      </c>
      <c r="G242" s="9" t="inlineStr">
        <is>
          <t>Clearwater</t>
        </is>
      </c>
      <c r="H242" s="9" t="inlineStr">
        <is>
          <t>Atlas Care Plus</t>
        </is>
      </c>
      <c r="I242" s="10" t="n">
        <v>9</v>
      </c>
      <c r="J242" s="16" t="n">
        <v>1788</v>
      </c>
      <c r="K242" s="18" t="n">
        <v>0</v>
      </c>
      <c r="L242" s="16">
        <f>I242*J242</f>
        <v/>
      </c>
      <c r="M242" s="16">
        <f>ROUND(L242*(1-K242),2)</f>
        <v/>
      </c>
      <c r="N242" s="16" t="n">
        <v>447</v>
      </c>
      <c r="O242" s="16">
        <f>I242*N242</f>
        <v/>
      </c>
      <c r="P242" s="18">
        <f>IFERROR((M242-O242)/M242,0)</f>
        <v/>
      </c>
      <c r="Q242" s="16" t="n">
        <v>0</v>
      </c>
      <c r="R242" s="9" t="inlineStr">
        <is>
          <t>Partner</t>
        </is>
      </c>
      <c r="S242" s="9" t="inlineStr">
        <is>
          <t>Avery Kellen</t>
        </is>
      </c>
      <c r="T242" s="9" t="inlineStr">
        <is>
          <t>Shipped</t>
        </is>
      </c>
      <c r="U242" s="10" t="n">
        <v>258</v>
      </c>
      <c r="V242" s="9" t="inlineStr">
        <is>
          <t>Replaces damaged unit</t>
        </is>
      </c>
    </row>
    <row r="243">
      <c r="A243" s="7" t="inlineStr">
        <is>
          <t>AP-31771</t>
        </is>
      </c>
      <c r="B243" s="23" t="n">
        <v>46214</v>
      </c>
      <c r="C243" s="7">
        <f>TEXT(B243,"yyyy-mm")</f>
        <v/>
      </c>
      <c r="D243" s="7" t="inlineStr">
        <is>
          <t>NLG-014</t>
        </is>
      </c>
      <c r="E243" s="9" t="inlineStr">
        <is>
          <t>Northlight Group</t>
        </is>
      </c>
      <c r="F243" s="9" t="inlineStr">
        <is>
          <t>Gulf Coast</t>
        </is>
      </c>
      <c r="G243" s="9" t="inlineStr">
        <is>
          <t>St. Petersburg</t>
        </is>
      </c>
      <c r="H243" s="9" t="inlineStr">
        <is>
          <t>Meridian Field Kit</t>
        </is>
      </c>
      <c r="I243" s="10" t="n">
        <v>3</v>
      </c>
      <c r="J243" s="16" t="n">
        <v>1240</v>
      </c>
      <c r="K243" s="18" t="n">
        <v>0.05</v>
      </c>
      <c r="L243" s="16">
        <f>I243*J243</f>
        <v/>
      </c>
      <c r="M243" s="16">
        <f>ROUND(L243*(1-K243),2)</f>
        <v/>
      </c>
      <c r="N243" s="16" t="n">
        <v>806</v>
      </c>
      <c r="O243" s="16">
        <f>I243*N243</f>
        <v/>
      </c>
      <c r="P243" s="18">
        <f>IFERROR((M243-O243)/M243,0)</f>
        <v/>
      </c>
      <c r="Q243" s="16" t="n">
        <v>100.33</v>
      </c>
      <c r="R243" s="9" t="inlineStr">
        <is>
          <t>Partner</t>
        </is>
      </c>
      <c r="S243" s="9" t="inlineStr">
        <is>
          <t>Jordan Vale</t>
        </is>
      </c>
      <c r="T243" s="9" t="inlineStr">
        <is>
          <t>Shipped</t>
        </is>
      </c>
      <c r="U243" s="10" t="n">
        <v>259</v>
      </c>
      <c r="V243" s="9" t="inlineStr"/>
    </row>
    <row r="244">
      <c r="A244" s="7" t="inlineStr">
        <is>
          <t>AP-31779</t>
        </is>
      </c>
      <c r="B244" s="23" t="n">
        <v>46292</v>
      </c>
      <c r="C244" s="7">
        <f>TEXT(B244,"yyyy-mm")</f>
        <v/>
      </c>
      <c r="D244" s="7" t="inlineStr">
        <is>
          <t>NLG-011</t>
        </is>
      </c>
      <c r="E244" s="9" t="inlineStr">
        <is>
          <t>Northlight Group</t>
        </is>
      </c>
      <c r="F244" s="9" t="inlineStr">
        <is>
          <t>Gulf Coast</t>
        </is>
      </c>
      <c r="G244" s="9" t="inlineStr">
        <is>
          <t>Tampa</t>
        </is>
      </c>
      <c r="H244" s="9" t="inlineStr">
        <is>
          <t>Meridian Field Kit</t>
        </is>
      </c>
      <c r="I244" s="10" t="n">
        <v>7</v>
      </c>
      <c r="J244" s="16" t="n">
        <v>1240</v>
      </c>
      <c r="K244" s="18" t="n">
        <v>0</v>
      </c>
      <c r="L244" s="16">
        <f>I244*J244</f>
        <v/>
      </c>
      <c r="M244" s="16">
        <f>ROUND(L244*(1-K244),2)</f>
        <v/>
      </c>
      <c r="N244" s="16" t="n">
        <v>806</v>
      </c>
      <c r="O244" s="16">
        <f>I244*N244</f>
        <v/>
      </c>
      <c r="P244" s="18">
        <f>IFERROR((M244-O244)/M244,0)</f>
        <v/>
      </c>
      <c r="Q244" s="16" t="n">
        <v>110.58</v>
      </c>
      <c r="R244" s="9" t="inlineStr">
        <is>
          <t>Partner</t>
        </is>
      </c>
      <c r="S244" s="9" t="inlineStr">
        <is>
          <t>Avery Kellen</t>
        </is>
      </c>
      <c r="T244" s="9" t="inlineStr">
        <is>
          <t>Open</t>
        </is>
      </c>
      <c r="U244" s="10" t="n">
        <v>260</v>
      </c>
      <c r="V244" s="9" t="inlineStr"/>
    </row>
    <row r="245">
      <c r="A245" s="7" t="inlineStr">
        <is>
          <t>AP-31786</t>
        </is>
      </c>
      <c r="B245" s="23" t="n">
        <v>46265</v>
      </c>
      <c r="C245" s="7">
        <f>TEXT(B245,"yyyy-mm")</f>
        <v/>
      </c>
      <c r="D245" s="7" t="inlineStr">
        <is>
          <t>NLG-044</t>
        </is>
      </c>
      <c r="E245" s="9" t="inlineStr">
        <is>
          <t>Northlight Group</t>
        </is>
      </c>
      <c r="F245" s="9" t="inlineStr">
        <is>
          <t>Central Florida</t>
        </is>
      </c>
      <c r="G245" s="9" t="inlineStr">
        <is>
          <t>Brandon</t>
        </is>
      </c>
      <c r="H245" s="9" t="inlineStr">
        <is>
          <t>Atlas Care Plus</t>
        </is>
      </c>
      <c r="I245" s="10" t="n">
        <v>10</v>
      </c>
      <c r="J245" s="16" t="n">
        <v>1788</v>
      </c>
      <c r="K245" s="18" t="n">
        <v>0.05</v>
      </c>
      <c r="L245" s="16">
        <f>I245*J245</f>
        <v/>
      </c>
      <c r="M245" s="16">
        <f>ROUND(L245*(1-K245),2)</f>
        <v/>
      </c>
      <c r="N245" s="16" t="n">
        <v>447</v>
      </c>
      <c r="O245" s="16">
        <f>I245*N245</f>
        <v/>
      </c>
      <c r="P245" s="18">
        <f>IFERROR((M245-O245)/M245,0)</f>
        <v/>
      </c>
      <c r="Q245" s="16" t="n">
        <v>0</v>
      </c>
      <c r="R245" s="9" t="inlineStr">
        <is>
          <t>Partner</t>
        </is>
      </c>
      <c r="S245" s="9" t="inlineStr">
        <is>
          <t>Morgan Reyes</t>
        </is>
      </c>
      <c r="T245" s="9" t="inlineStr">
        <is>
          <t>Shipped</t>
        </is>
      </c>
      <c r="U245" s="10" t="n">
        <v>261</v>
      </c>
      <c r="V245" s="9" t="inlineStr"/>
    </row>
    <row r="246">
      <c r="A246" s="7" t="inlineStr">
        <is>
          <t>AP-31796</t>
        </is>
      </c>
      <c r="B246" s="23" t="n">
        <v>46220</v>
      </c>
      <c r="C246" s="7">
        <f>TEXT(B246,"yyyy-mm")</f>
        <v/>
      </c>
      <c r="D246" s="7" t="inlineStr">
        <is>
          <t>NLG-027</t>
        </is>
      </c>
      <c r="E246" s="9" t="inlineStr">
        <is>
          <t>Northlight Group</t>
        </is>
      </c>
      <c r="F246" s="9" t="inlineStr">
        <is>
          <t>Central Florida</t>
        </is>
      </c>
      <c r="G246" s="9" t="inlineStr">
        <is>
          <t>Lakeland</t>
        </is>
      </c>
      <c r="H246" s="9" t="inlineStr">
        <is>
          <t>Meridian Pro</t>
        </is>
      </c>
      <c r="I246" s="10" t="n">
        <v>1</v>
      </c>
      <c r="J246" s="16" t="n">
        <v>7900</v>
      </c>
      <c r="K246" s="18" t="n">
        <v>0</v>
      </c>
      <c r="L246" s="16">
        <f>I246*J246</f>
        <v/>
      </c>
      <c r="M246" s="16">
        <f>ROUND(L246*(1-K246),2)</f>
        <v/>
      </c>
      <c r="N246" s="16" t="n">
        <v>4345</v>
      </c>
      <c r="O246" s="16">
        <f>I246*N246</f>
        <v/>
      </c>
      <c r="P246" s="18">
        <f>IFERROR((M246-O246)/M246,0)</f>
        <v/>
      </c>
      <c r="Q246" s="16" t="n">
        <v>29.26</v>
      </c>
      <c r="R246" s="9" t="inlineStr">
        <is>
          <t>Partner</t>
        </is>
      </c>
      <c r="S246" s="9" t="inlineStr">
        <is>
          <t>Morgan Reyes</t>
        </is>
      </c>
      <c r="T246" s="9" t="inlineStr">
        <is>
          <t>Invoiced</t>
        </is>
      </c>
      <c r="U246" s="10" t="n">
        <v>262</v>
      </c>
      <c r="V246" s="9" t="inlineStr"/>
    </row>
    <row r="247">
      <c r="A247" s="7" t="inlineStr">
        <is>
          <t>AP-31801</t>
        </is>
      </c>
      <c r="B247" s="23" t="n">
        <v>46206</v>
      </c>
      <c r="C247" s="7">
        <f>TEXT(B247,"yyyy-mm")</f>
        <v/>
      </c>
      <c r="D247" s="7" t="inlineStr">
        <is>
          <t>DIR-000</t>
        </is>
      </c>
      <c r="E247" s="9" t="inlineStr">
        <is>
          <t>Apex Instruments direct</t>
        </is>
      </c>
      <c r="F247" s="9" t="inlineStr">
        <is>
          <t>House</t>
        </is>
      </c>
      <c r="G247" s="9" t="inlineStr">
        <is>
          <t>Tampa</t>
        </is>
      </c>
      <c r="H247" s="9" t="inlineStr">
        <is>
          <t>Meridian Bench</t>
        </is>
      </c>
      <c r="I247" s="10" t="n">
        <v>2</v>
      </c>
      <c r="J247" s="16" t="n">
        <v>4850</v>
      </c>
      <c r="K247" s="18" t="n">
        <v>0.05</v>
      </c>
      <c r="L247" s="16">
        <f>I247*J247</f>
        <v/>
      </c>
      <c r="M247" s="16">
        <f>ROUND(L247*(1-K247),2)</f>
        <v/>
      </c>
      <c r="N247" s="16" t="n">
        <v>2910</v>
      </c>
      <c r="O247" s="16">
        <f>I247*N247</f>
        <v/>
      </c>
      <c r="P247" s="18">
        <f>IFERROR((M247-O247)/M247,0)</f>
        <v/>
      </c>
      <c r="Q247" s="16" t="n">
        <v>106.92</v>
      </c>
      <c r="R247" s="9" t="inlineStr">
        <is>
          <t>Direct</t>
        </is>
      </c>
      <c r="S247" s="9" t="inlineStr">
        <is>
          <t>Jordan Vale</t>
        </is>
      </c>
      <c r="T247" s="9" t="inlineStr">
        <is>
          <t>Open</t>
        </is>
      </c>
      <c r="U247" s="10" t="n">
        <v>263</v>
      </c>
      <c r="V247" s="9" t="inlineStr"/>
    </row>
    <row r="248">
      <c r="A248" s="7" t="inlineStr">
        <is>
          <t>AP-31808</t>
        </is>
      </c>
      <c r="B248" s="23" t="n">
        <v>46236</v>
      </c>
      <c r="C248" s="7">
        <f>TEXT(B248,"yyyy-mm")</f>
        <v/>
      </c>
      <c r="D248" s="7" t="inlineStr">
        <is>
          <t>NLG-014</t>
        </is>
      </c>
      <c r="E248" s="9" t="inlineStr">
        <is>
          <t>Northlight Group</t>
        </is>
      </c>
      <c r="F248" s="9" t="inlineStr">
        <is>
          <t>Gulf Coast</t>
        </is>
      </c>
      <c r="G248" s="9" t="inlineStr">
        <is>
          <t>St. Petersburg</t>
        </is>
      </c>
      <c r="H248" s="9" t="inlineStr">
        <is>
          <t>Calibration service</t>
        </is>
      </c>
      <c r="I248" s="10" t="n">
        <v>4</v>
      </c>
      <c r="J248" s="16" t="n">
        <v>180</v>
      </c>
      <c r="K248" s="18" t="n">
        <v>0</v>
      </c>
      <c r="L248" s="16">
        <f>I248*J248</f>
        <v/>
      </c>
      <c r="M248" s="16">
        <f>ROUND(L248*(1-K248),2)</f>
        <v/>
      </c>
      <c r="N248" s="16" t="n">
        <v>99</v>
      </c>
      <c r="O248" s="16">
        <f>I248*N248</f>
        <v/>
      </c>
      <c r="P248" s="18">
        <f>IFERROR((M248-O248)/M248,0)</f>
        <v/>
      </c>
      <c r="Q248" s="16" t="n">
        <v>0</v>
      </c>
      <c r="R248" s="9" t="inlineStr">
        <is>
          <t>Partner</t>
        </is>
      </c>
      <c r="S248" s="9" t="inlineStr">
        <is>
          <t>Sami Torres</t>
        </is>
      </c>
      <c r="T248" s="9" t="inlineStr">
        <is>
          <t>Open</t>
        </is>
      </c>
      <c r="U248" s="10" t="n">
        <v>264</v>
      </c>
      <c r="V248" s="9" t="inlineStr"/>
    </row>
    <row r="249">
      <c r="A249" s="7" t="inlineStr">
        <is>
          <t>AP-31813</t>
        </is>
      </c>
      <c r="B249" s="23" t="n">
        <v>46293</v>
      </c>
      <c r="C249" s="7">
        <f>TEXT(B249,"yyyy-mm")</f>
        <v/>
      </c>
      <c r="D249" s="7" t="inlineStr">
        <is>
          <t>NLG-022</t>
        </is>
      </c>
      <c r="E249" s="9" t="inlineStr">
        <is>
          <t>Northlight Group</t>
        </is>
      </c>
      <c r="F249" s="9" t="inlineStr">
        <is>
          <t>Central Florida</t>
        </is>
      </c>
      <c r="G249" s="9" t="inlineStr">
        <is>
          <t>Orlando</t>
        </is>
      </c>
      <c r="H249" s="9" t="inlineStr">
        <is>
          <t>Meridian Pro</t>
        </is>
      </c>
      <c r="I249" s="10" t="n">
        <v>2</v>
      </c>
      <c r="J249" s="16" t="n">
        <v>7900</v>
      </c>
      <c r="K249" s="18" t="n">
        <v>0.05</v>
      </c>
      <c r="L249" s="16">
        <f>I249*J249</f>
        <v/>
      </c>
      <c r="M249" s="16">
        <f>ROUND(L249*(1-K249),2)</f>
        <v/>
      </c>
      <c r="N249" s="16" t="n">
        <v>4345</v>
      </c>
      <c r="O249" s="16">
        <f>I249*N249</f>
        <v/>
      </c>
      <c r="P249" s="18">
        <f>IFERROR((M249-O249)/M249,0)</f>
        <v/>
      </c>
      <c r="Q249" s="16" t="n">
        <v>118.98</v>
      </c>
      <c r="R249" s="9" t="inlineStr">
        <is>
          <t>Partner</t>
        </is>
      </c>
      <c r="S249" s="9" t="inlineStr">
        <is>
          <t>Jordan Vale</t>
        </is>
      </c>
      <c r="T249" s="9" t="inlineStr">
        <is>
          <t>Shipped</t>
        </is>
      </c>
      <c r="U249" s="10" t="n">
        <v>265</v>
      </c>
      <c r="V249" s="9" t="inlineStr">
        <is>
          <t>Rush requested</t>
        </is>
      </c>
    </row>
    <row r="250">
      <c r="A250" s="7" t="inlineStr">
        <is>
          <t>AP-31824</t>
        </is>
      </c>
      <c r="B250" s="23" t="n">
        <v>46240</v>
      </c>
      <c r="C250" s="7">
        <f>TEXT(B250,"yyyy-mm")</f>
        <v/>
      </c>
      <c r="D250" s="7" t="inlineStr">
        <is>
          <t>NLG-022</t>
        </is>
      </c>
      <c r="E250" s="9" t="inlineStr">
        <is>
          <t>Northlight Group</t>
        </is>
      </c>
      <c r="F250" s="9" t="inlineStr">
        <is>
          <t>Central Florida</t>
        </is>
      </c>
      <c r="G250" s="9" t="inlineStr">
        <is>
          <t>Orlando</t>
        </is>
      </c>
      <c r="H250" s="9" t="inlineStr">
        <is>
          <t>Meridian Pro</t>
        </is>
      </c>
      <c r="I250" s="10" t="n">
        <v>2</v>
      </c>
      <c r="J250" s="16" t="n">
        <v>7900</v>
      </c>
      <c r="K250" s="18" t="n">
        <v>0</v>
      </c>
      <c r="L250" s="16">
        <f>I250*J250</f>
        <v/>
      </c>
      <c r="M250" s="16">
        <f>ROUND(L250*(1-K250),2)</f>
        <v/>
      </c>
      <c r="N250" s="16" t="n">
        <v>4345</v>
      </c>
      <c r="O250" s="16">
        <f>I250*N250</f>
        <v/>
      </c>
      <c r="P250" s="18">
        <f>IFERROR((M250-O250)/M250,0)</f>
        <v/>
      </c>
      <c r="Q250" s="16" t="n">
        <v>65.31999999999999</v>
      </c>
      <c r="R250" s="9" t="inlineStr">
        <is>
          <t>Partner</t>
        </is>
      </c>
      <c r="S250" s="9" t="inlineStr">
        <is>
          <t>Avery Kellen</t>
        </is>
      </c>
      <c r="T250" s="9" t="inlineStr">
        <is>
          <t>Shipped</t>
        </is>
      </c>
      <c r="U250" s="10" t="n">
        <v>266</v>
      </c>
      <c r="V250" s="9" t="inlineStr">
        <is>
          <t>Split shipment</t>
        </is>
      </c>
    </row>
    <row r="251">
      <c r="A251" s="7" t="inlineStr">
        <is>
          <t>AP-31829</t>
        </is>
      </c>
      <c r="B251" s="23" t="n">
        <v>46267</v>
      </c>
      <c r="C251" s="7">
        <f>TEXT(B251,"yyyy-mm")</f>
        <v/>
      </c>
      <c r="D251" s="7" t="inlineStr">
        <is>
          <t>NLG-027</t>
        </is>
      </c>
      <c r="E251" s="9" t="inlineStr">
        <is>
          <t>Northlight Group</t>
        </is>
      </c>
      <c r="F251" s="9" t="inlineStr">
        <is>
          <t>Central Florida</t>
        </is>
      </c>
      <c r="G251" s="9" t="inlineStr">
        <is>
          <t>Lakeland</t>
        </is>
      </c>
      <c r="H251" s="9" t="inlineStr">
        <is>
          <t>On-site training</t>
        </is>
      </c>
      <c r="I251" s="10" t="n">
        <v>2</v>
      </c>
      <c r="J251" s="16" t="n">
        <v>650</v>
      </c>
      <c r="K251" s="18" t="n">
        <v>0.03</v>
      </c>
      <c r="L251" s="16">
        <f>I251*J251</f>
        <v/>
      </c>
      <c r="M251" s="16">
        <f>ROUND(L251*(1-K251),2)</f>
        <v/>
      </c>
      <c r="N251" s="16" t="n">
        <v>429</v>
      </c>
      <c r="O251" s="16">
        <f>I251*N251</f>
        <v/>
      </c>
      <c r="P251" s="18">
        <f>IFERROR((M251-O251)/M251,0)</f>
        <v/>
      </c>
      <c r="Q251" s="16" t="n">
        <v>0</v>
      </c>
      <c r="R251" s="9" t="inlineStr">
        <is>
          <t>Partner</t>
        </is>
      </c>
      <c r="S251" s="9" t="inlineStr">
        <is>
          <t>Morgan Reyes</t>
        </is>
      </c>
      <c r="T251" s="9" t="inlineStr">
        <is>
          <t>Invoiced</t>
        </is>
      </c>
      <c r="U251" s="10" t="n">
        <v>267</v>
      </c>
      <c r="V251" s="9" t="inlineStr">
        <is>
          <t>PO on file</t>
        </is>
      </c>
    </row>
    <row r="252">
      <c r="A252" s="7" t="inlineStr">
        <is>
          <t>AP-31834</t>
        </is>
      </c>
      <c r="B252" s="23" t="n">
        <v>46289</v>
      </c>
      <c r="C252" s="7">
        <f>TEXT(B252,"yyyy-mm")</f>
        <v/>
      </c>
      <c r="D252" s="7" t="inlineStr">
        <is>
          <t>NLG-011</t>
        </is>
      </c>
      <c r="E252" s="9" t="inlineStr">
        <is>
          <t>Northlight Group</t>
        </is>
      </c>
      <c r="F252" s="9" t="inlineStr">
        <is>
          <t>Gulf Coast</t>
        </is>
      </c>
      <c r="G252" s="9" t="inlineStr">
        <is>
          <t>Tampa</t>
        </is>
      </c>
      <c r="H252" s="9" t="inlineStr">
        <is>
          <t>On-site training</t>
        </is>
      </c>
      <c r="I252" s="10" t="n">
        <v>1</v>
      </c>
      <c r="J252" s="16" t="n">
        <v>650</v>
      </c>
      <c r="K252" s="18" t="n">
        <v>0</v>
      </c>
      <c r="L252" s="16">
        <f>I252*J252</f>
        <v/>
      </c>
      <c r="M252" s="16">
        <f>ROUND(L252*(1-K252),2)</f>
        <v/>
      </c>
      <c r="N252" s="16" t="n">
        <v>429</v>
      </c>
      <c r="O252" s="16">
        <f>I252*N252</f>
        <v/>
      </c>
      <c r="P252" s="18">
        <f>IFERROR((M252-O252)/M252,0)</f>
        <v/>
      </c>
      <c r="Q252" s="16" t="n">
        <v>0</v>
      </c>
      <c r="R252" s="9" t="inlineStr">
        <is>
          <t>Partner</t>
        </is>
      </c>
      <c r="S252" s="9" t="inlineStr">
        <is>
          <t>Morgan Reyes</t>
        </is>
      </c>
      <c r="T252" s="9" t="inlineStr">
        <is>
          <t>Shipped</t>
        </is>
      </c>
      <c r="U252" s="10" t="n">
        <v>268</v>
      </c>
      <c r="V252" s="9" t="inlineStr">
        <is>
          <t>Partner pickup</t>
        </is>
      </c>
    </row>
    <row r="253">
      <c r="A253" s="7" t="inlineStr">
        <is>
          <t>AP-31843</t>
        </is>
      </c>
      <c r="B253" s="23" t="n">
        <v>46278</v>
      </c>
      <c r="C253" s="7">
        <f>TEXT(B253,"yyyy-mm")</f>
        <v/>
      </c>
      <c r="D253" s="7" t="inlineStr">
        <is>
          <t>DIR-000</t>
        </is>
      </c>
      <c r="E253" s="9" t="inlineStr">
        <is>
          <t>Apex Instruments direct</t>
        </is>
      </c>
      <c r="F253" s="9" t="inlineStr">
        <is>
          <t>House</t>
        </is>
      </c>
      <c r="G253" s="9" t="inlineStr">
        <is>
          <t>Tampa</t>
        </is>
      </c>
      <c r="H253" s="9" t="inlineStr">
        <is>
          <t>Atlas Care Plus</t>
        </is>
      </c>
      <c r="I253" s="10" t="n">
        <v>4</v>
      </c>
      <c r="J253" s="16" t="n">
        <v>1788</v>
      </c>
      <c r="K253" s="18" t="n">
        <v>0</v>
      </c>
      <c r="L253" s="16">
        <f>I253*J253</f>
        <v/>
      </c>
      <c r="M253" s="16">
        <f>ROUND(L253*(1-K253),2)</f>
        <v/>
      </c>
      <c r="N253" s="16" t="n">
        <v>447</v>
      </c>
      <c r="O253" s="16">
        <f>I253*N253</f>
        <v/>
      </c>
      <c r="P253" s="18">
        <f>IFERROR((M253-O253)/M253,0)</f>
        <v/>
      </c>
      <c r="Q253" s="16" t="n">
        <v>0</v>
      </c>
      <c r="R253" s="9" t="inlineStr">
        <is>
          <t>Direct</t>
        </is>
      </c>
      <c r="S253" s="9" t="inlineStr">
        <is>
          <t>Sami Torres</t>
        </is>
      </c>
      <c r="T253" s="9" t="inlineStr">
        <is>
          <t>Shipped</t>
        </is>
      </c>
      <c r="U253" s="10" t="n">
        <v>269</v>
      </c>
      <c r="V253" s="9" t="inlineStr"/>
    </row>
    <row r="254">
      <c r="A254" s="7" t="inlineStr">
        <is>
          <t>AP-31851</t>
        </is>
      </c>
      <c r="B254" s="23" t="n">
        <v>46257</v>
      </c>
      <c r="C254" s="7">
        <f>TEXT(B254,"yyyy-mm")</f>
        <v/>
      </c>
      <c r="D254" s="7" t="inlineStr">
        <is>
          <t>NLG-031</t>
        </is>
      </c>
      <c r="E254" s="9" t="inlineStr">
        <is>
          <t>Northlight Group</t>
        </is>
      </c>
      <c r="F254" s="9" t="inlineStr">
        <is>
          <t>Gulf Coast</t>
        </is>
      </c>
      <c r="G254" s="9" t="inlineStr">
        <is>
          <t>Sarasota</t>
        </is>
      </c>
      <c r="H254" s="9" t="inlineStr">
        <is>
          <t>Meridian Pro</t>
        </is>
      </c>
      <c r="I254" s="10" t="n">
        <v>2</v>
      </c>
      <c r="J254" s="16" t="n">
        <v>7900</v>
      </c>
      <c r="K254" s="18" t="n">
        <v>0.03</v>
      </c>
      <c r="L254" s="16">
        <f>I254*J254</f>
        <v/>
      </c>
      <c r="M254" s="16">
        <f>ROUND(L254*(1-K254),2)</f>
        <v/>
      </c>
      <c r="N254" s="16" t="n">
        <v>4345</v>
      </c>
      <c r="O254" s="16">
        <f>I254*N254</f>
        <v/>
      </c>
      <c r="P254" s="18">
        <f>IFERROR((M254-O254)/M254,0)</f>
        <v/>
      </c>
      <c r="Q254" s="16" t="n">
        <v>141.52</v>
      </c>
      <c r="R254" s="9" t="inlineStr">
        <is>
          <t>Partner</t>
        </is>
      </c>
      <c r="S254" s="9" t="inlineStr">
        <is>
          <t>Morgan Reyes</t>
        </is>
      </c>
      <c r="T254" s="9" t="inlineStr">
        <is>
          <t>Shipped</t>
        </is>
      </c>
      <c r="U254" s="10" t="n">
        <v>270</v>
      </c>
      <c r="V254" s="9" t="inlineStr"/>
    </row>
    <row r="255">
      <c r="A255" s="7" t="inlineStr">
        <is>
          <t>AP-31856</t>
        </is>
      </c>
      <c r="B255" s="23" t="n">
        <v>46218</v>
      </c>
      <c r="C255" s="7">
        <f>TEXT(B255,"yyyy-mm")</f>
        <v/>
      </c>
      <c r="D255" s="7" t="inlineStr">
        <is>
          <t>DIR-000</t>
        </is>
      </c>
      <c r="E255" s="9" t="inlineStr">
        <is>
          <t>Apex Instruments direct</t>
        </is>
      </c>
      <c r="F255" s="9" t="inlineStr">
        <is>
          <t>House</t>
        </is>
      </c>
      <c r="G255" s="9" t="inlineStr">
        <is>
          <t>Tampa</t>
        </is>
      </c>
      <c r="H255" s="9" t="inlineStr">
        <is>
          <t>Meridian Pro</t>
        </is>
      </c>
      <c r="I255" s="10" t="n">
        <v>2</v>
      </c>
      <c r="J255" s="16" t="n">
        <v>7900</v>
      </c>
      <c r="K255" s="18" t="n">
        <v>0.05</v>
      </c>
      <c r="L255" s="16">
        <f>I255*J255</f>
        <v/>
      </c>
      <c r="M255" s="16">
        <f>ROUND(L255*(1-K255),2)</f>
        <v/>
      </c>
      <c r="N255" s="16" t="n">
        <v>4345</v>
      </c>
      <c r="O255" s="16">
        <f>I255*N255</f>
        <v/>
      </c>
      <c r="P255" s="18">
        <f>IFERROR((M255-O255)/M255,0)</f>
        <v/>
      </c>
      <c r="Q255" s="16" t="n">
        <v>28.22</v>
      </c>
      <c r="R255" s="9" t="inlineStr">
        <is>
          <t>Direct</t>
        </is>
      </c>
      <c r="S255" s="9" t="inlineStr">
        <is>
          <t>Avery Kellen</t>
        </is>
      </c>
      <c r="T255" s="9" t="inlineStr">
        <is>
          <t>Shipped</t>
        </is>
      </c>
      <c r="U255" s="10" t="n">
        <v>271</v>
      </c>
      <c r="V255" s="9" t="inlineStr"/>
    </row>
    <row r="256">
      <c r="A256" s="7" t="inlineStr">
        <is>
          <t>AP-31871</t>
        </is>
      </c>
      <c r="B256" s="23" t="n">
        <v>46262</v>
      </c>
      <c r="C256" s="7">
        <f>TEXT(B256,"yyyy-mm")</f>
        <v/>
      </c>
      <c r="D256" s="7" t="inlineStr">
        <is>
          <t>NLG-036</t>
        </is>
      </c>
      <c r="E256" s="9" t="inlineStr">
        <is>
          <t>Northlight Group</t>
        </is>
      </c>
      <c r="F256" s="9" t="inlineStr">
        <is>
          <t>Gulf Coast</t>
        </is>
      </c>
      <c r="G256" s="9" t="inlineStr">
        <is>
          <t>Clearwater</t>
        </is>
      </c>
      <c r="H256" s="9" t="inlineStr">
        <is>
          <t>Meridian Bench</t>
        </is>
      </c>
      <c r="I256" s="10" t="n">
        <v>1</v>
      </c>
      <c r="J256" s="16" t="n">
        <v>4850</v>
      </c>
      <c r="K256" s="18" t="n">
        <v>0.05</v>
      </c>
      <c r="L256" s="16">
        <f>I256*J256</f>
        <v/>
      </c>
      <c r="M256" s="16">
        <f>ROUND(L256*(1-K256),2)</f>
        <v/>
      </c>
      <c r="N256" s="16" t="n">
        <v>2910</v>
      </c>
      <c r="O256" s="16">
        <f>I256*N256</f>
        <v/>
      </c>
      <c r="P256" s="18">
        <f>IFERROR((M256-O256)/M256,0)</f>
        <v/>
      </c>
      <c r="Q256" s="16" t="n">
        <v>168.01</v>
      </c>
      <c r="R256" s="9" t="inlineStr">
        <is>
          <t>Partner</t>
        </is>
      </c>
      <c r="S256" s="9" t="inlineStr">
        <is>
          <t>Avery Kellen</t>
        </is>
      </c>
      <c r="T256" s="9" t="inlineStr">
        <is>
          <t>Invoiced</t>
        </is>
      </c>
      <c r="U256" s="10" t="n">
        <v>273</v>
      </c>
      <c r="V256" s="9" t="inlineStr">
        <is>
          <t>Partner pickup</t>
        </is>
      </c>
    </row>
    <row r="257">
      <c r="A257" s="7" t="inlineStr">
        <is>
          <t>AP-31879</t>
        </is>
      </c>
      <c r="B257" s="23" t="n">
        <v>46267</v>
      </c>
      <c r="C257" s="7">
        <f>TEXT(B257,"yyyy-mm")</f>
        <v/>
      </c>
      <c r="D257" s="7" t="inlineStr">
        <is>
          <t>NLG-031</t>
        </is>
      </c>
      <c r="E257" s="9" t="inlineStr">
        <is>
          <t>Northlight Group</t>
        </is>
      </c>
      <c r="F257" s="9" t="inlineStr">
        <is>
          <t>Gulf Coast</t>
        </is>
      </c>
      <c r="G257" s="9" t="inlineStr">
        <is>
          <t>Sarasota</t>
        </is>
      </c>
      <c r="H257" s="9" t="inlineStr">
        <is>
          <t>Calibration service</t>
        </is>
      </c>
      <c r="I257" s="10" t="n">
        <v>3</v>
      </c>
      <c r="J257" s="16" t="n">
        <v>180</v>
      </c>
      <c r="K257" s="18" t="n">
        <v>0</v>
      </c>
      <c r="L257" s="16">
        <f>I257*J257</f>
        <v/>
      </c>
      <c r="M257" s="16">
        <f>ROUND(L257*(1-K257),2)</f>
        <v/>
      </c>
      <c r="N257" s="16" t="n">
        <v>99</v>
      </c>
      <c r="O257" s="16">
        <f>I257*N257</f>
        <v/>
      </c>
      <c r="P257" s="18">
        <f>IFERROR((M257-O257)/M257,0)</f>
        <v/>
      </c>
      <c r="Q257" s="16" t="n">
        <v>0</v>
      </c>
      <c r="R257" s="9" t="inlineStr">
        <is>
          <t>Partner</t>
        </is>
      </c>
      <c r="S257" s="9" t="inlineStr">
        <is>
          <t>Jordan Vale</t>
        </is>
      </c>
      <c r="T257" s="9" t="inlineStr">
        <is>
          <t>Shipped</t>
        </is>
      </c>
      <c r="U257" s="10" t="n">
        <v>274</v>
      </c>
      <c r="V257" s="9" t="inlineStr"/>
    </row>
    <row r="258">
      <c r="A258" s="7" t="inlineStr">
        <is>
          <t>AP-31886</t>
        </is>
      </c>
      <c r="B258" s="23" t="n">
        <v>46244</v>
      </c>
      <c r="C258" s="7">
        <f>TEXT(B258,"yyyy-mm")</f>
        <v/>
      </c>
      <c r="D258" s="7" t="inlineStr">
        <is>
          <t>NLG-044</t>
        </is>
      </c>
      <c r="E258" s="9" t="inlineStr">
        <is>
          <t>Northlight Group</t>
        </is>
      </c>
      <c r="F258" s="9" t="inlineStr">
        <is>
          <t>Central Florida</t>
        </is>
      </c>
      <c r="G258" s="9" t="inlineStr">
        <is>
          <t>Brandon</t>
        </is>
      </c>
      <c r="H258" s="9" t="inlineStr">
        <is>
          <t>Meridian Field Kit</t>
        </is>
      </c>
      <c r="I258" s="10" t="n">
        <v>8</v>
      </c>
      <c r="J258" s="16" t="n">
        <v>1240</v>
      </c>
      <c r="K258" s="18" t="n">
        <v>0</v>
      </c>
      <c r="L258" s="16">
        <f>I258*J258</f>
        <v/>
      </c>
      <c r="M258" s="16">
        <f>ROUND(L258*(1-K258),2)</f>
        <v/>
      </c>
      <c r="N258" s="16" t="n">
        <v>806</v>
      </c>
      <c r="O258" s="16">
        <f>I258*N258</f>
        <v/>
      </c>
      <c r="P258" s="18">
        <f>IFERROR((M258-O258)/M258,0)</f>
        <v/>
      </c>
      <c r="Q258" s="16" t="n">
        <v>122.13</v>
      </c>
      <c r="R258" s="9" t="inlineStr">
        <is>
          <t>Partner</t>
        </is>
      </c>
      <c r="S258" s="9" t="inlineStr">
        <is>
          <t>Morgan Reyes</t>
        </is>
      </c>
      <c r="T258" s="9" t="inlineStr">
        <is>
          <t>Open</t>
        </is>
      </c>
      <c r="U258" s="10" t="n">
        <v>275</v>
      </c>
      <c r="V258" s="9" t="inlineStr">
        <is>
          <t>Partner pickup</t>
        </is>
      </c>
    </row>
    <row r="259">
      <c r="A259" s="7" t="inlineStr">
        <is>
          <t>AP-31892</t>
        </is>
      </c>
      <c r="B259" s="23" t="n">
        <v>46244</v>
      </c>
      <c r="C259" s="7">
        <f>TEXT(B259,"yyyy-mm")</f>
        <v/>
      </c>
      <c r="D259" s="7" t="inlineStr">
        <is>
          <t>NLG-044</t>
        </is>
      </c>
      <c r="E259" s="9" t="inlineStr">
        <is>
          <t>Northlight Group</t>
        </is>
      </c>
      <c r="F259" s="9" t="inlineStr">
        <is>
          <t>Central Florida</t>
        </is>
      </c>
      <c r="G259" s="9" t="inlineStr">
        <is>
          <t>Brandon</t>
        </is>
      </c>
      <c r="H259" s="9" t="inlineStr">
        <is>
          <t>Meridian Bench</t>
        </is>
      </c>
      <c r="I259" s="10" t="n">
        <v>2</v>
      </c>
      <c r="J259" s="16" t="n">
        <v>4850</v>
      </c>
      <c r="K259" s="18" t="n">
        <v>0.05</v>
      </c>
      <c r="L259" s="16">
        <f>I259*J259</f>
        <v/>
      </c>
      <c r="M259" s="16">
        <f>ROUND(L259*(1-K259),2)</f>
        <v/>
      </c>
      <c r="N259" s="16" t="n">
        <v>2910</v>
      </c>
      <c r="O259" s="16">
        <f>I259*N259</f>
        <v/>
      </c>
      <c r="P259" s="18">
        <f>IFERROR((M259-O259)/M259,0)</f>
        <v/>
      </c>
      <c r="Q259" s="16" t="n">
        <v>144.55</v>
      </c>
      <c r="R259" s="9" t="inlineStr">
        <is>
          <t>Partner</t>
        </is>
      </c>
      <c r="S259" s="9" t="inlineStr">
        <is>
          <t>Jordan Vale</t>
        </is>
      </c>
      <c r="T259" s="9" t="inlineStr">
        <is>
          <t>Shipped</t>
        </is>
      </c>
      <c r="U259" s="10" t="n">
        <v>276</v>
      </c>
      <c r="V259" s="9" t="inlineStr"/>
    </row>
    <row r="260">
      <c r="A260" s="7" t="inlineStr">
        <is>
          <t>AP-31898</t>
        </is>
      </c>
      <c r="B260" s="23" t="n">
        <v>46270</v>
      </c>
      <c r="C260" s="7">
        <f>TEXT(B260,"yyyy-mm")</f>
        <v/>
      </c>
      <c r="D260" s="7" t="inlineStr">
        <is>
          <t>DIR-000</t>
        </is>
      </c>
      <c r="E260" s="9" t="inlineStr">
        <is>
          <t>Apex Instruments direct</t>
        </is>
      </c>
      <c r="F260" s="9" t="inlineStr">
        <is>
          <t>House</t>
        </is>
      </c>
      <c r="G260" s="9" t="inlineStr">
        <is>
          <t>Tampa</t>
        </is>
      </c>
      <c r="H260" s="9" t="inlineStr">
        <is>
          <t>Meridian Field Kit</t>
        </is>
      </c>
      <c r="I260" s="10" t="n">
        <v>7</v>
      </c>
      <c r="J260" s="16" t="n">
        <v>1240</v>
      </c>
      <c r="K260" s="18" t="n">
        <v>0.03</v>
      </c>
      <c r="L260" s="16">
        <f>I260*J260</f>
        <v/>
      </c>
      <c r="M260" s="16">
        <f>ROUND(L260*(1-K260),2)</f>
        <v/>
      </c>
      <c r="N260" s="16" t="n">
        <v>806</v>
      </c>
      <c r="O260" s="16">
        <f>I260*N260</f>
        <v/>
      </c>
      <c r="P260" s="18">
        <f>IFERROR((M260-O260)/M260,0)</f>
        <v/>
      </c>
      <c r="Q260" s="16" t="n">
        <v>35.46</v>
      </c>
      <c r="R260" s="9" t="inlineStr">
        <is>
          <t>Direct</t>
        </is>
      </c>
      <c r="S260" s="9" t="inlineStr">
        <is>
          <t>Avery Kellen</t>
        </is>
      </c>
      <c r="T260" s="9" t="inlineStr">
        <is>
          <t>Shipped</t>
        </is>
      </c>
      <c r="U260" s="10" t="n">
        <v>277</v>
      </c>
      <c r="V260" s="9" t="inlineStr">
        <is>
          <t>PO on file</t>
        </is>
      </c>
    </row>
    <row r="261">
      <c r="A261" s="7" t="inlineStr">
        <is>
          <t>AP-31914</t>
        </is>
      </c>
      <c r="B261" s="23" t="n">
        <v>46220</v>
      </c>
      <c r="C261" s="7">
        <f>TEXT(B261,"yyyy-mm")</f>
        <v/>
      </c>
      <c r="D261" s="7" t="inlineStr">
        <is>
          <t>NLG-044</t>
        </is>
      </c>
      <c r="E261" s="9" t="inlineStr">
        <is>
          <t>Northlight Group</t>
        </is>
      </c>
      <c r="F261" s="9" t="inlineStr">
        <is>
          <t>Central Florida</t>
        </is>
      </c>
      <c r="G261" s="9" t="inlineStr">
        <is>
          <t>Brandon</t>
        </is>
      </c>
      <c r="H261" s="9" t="inlineStr">
        <is>
          <t>Meridian Pro</t>
        </is>
      </c>
      <c r="I261" s="10" t="n">
        <v>1</v>
      </c>
      <c r="J261" s="16" t="n">
        <v>7900</v>
      </c>
      <c r="K261" s="18" t="n">
        <v>0.05</v>
      </c>
      <c r="L261" s="16">
        <f>I261*J261</f>
        <v/>
      </c>
      <c r="M261" s="16">
        <f>ROUND(L261*(1-K261),2)</f>
        <v/>
      </c>
      <c r="N261" s="16" t="n">
        <v>4345</v>
      </c>
      <c r="O261" s="16">
        <f>I261*N261</f>
        <v/>
      </c>
      <c r="P261" s="18">
        <f>IFERROR((M261-O261)/M261,0)</f>
        <v/>
      </c>
      <c r="Q261" s="16" t="n">
        <v>153.5</v>
      </c>
      <c r="R261" s="9" t="inlineStr">
        <is>
          <t>Partner</t>
        </is>
      </c>
      <c r="S261" s="9" t="inlineStr">
        <is>
          <t>Morgan Reyes</t>
        </is>
      </c>
      <c r="T261" s="9" t="inlineStr">
        <is>
          <t>Invoiced</t>
        </is>
      </c>
      <c r="U261" s="10" t="n">
        <v>279</v>
      </c>
      <c r="V261" s="9" t="inlineStr">
        <is>
          <t>Split shipment</t>
        </is>
      </c>
    </row>
    <row r="262">
      <c r="A262" s="7" t="inlineStr">
        <is>
          <t>AP-31918</t>
        </is>
      </c>
      <c r="B262" s="23" t="n">
        <v>46282</v>
      </c>
      <c r="C262" s="7">
        <f>TEXT(B262,"yyyy-mm")</f>
        <v/>
      </c>
      <c r="D262" s="7" t="inlineStr">
        <is>
          <t>NLG-014</t>
        </is>
      </c>
      <c r="E262" s="9" t="inlineStr">
        <is>
          <t>Northlight Group</t>
        </is>
      </c>
      <c r="F262" s="9" t="inlineStr">
        <is>
          <t>Gulf Coast</t>
        </is>
      </c>
      <c r="G262" s="9" t="inlineStr">
        <is>
          <t>St. Petersburg</t>
        </is>
      </c>
      <c r="H262" s="9" t="inlineStr">
        <is>
          <t>Meridian Bench</t>
        </is>
      </c>
      <c r="I262" s="10" t="n">
        <v>3</v>
      </c>
      <c r="J262" s="16" t="n">
        <v>4850</v>
      </c>
      <c r="K262" s="18" t="n">
        <v>0</v>
      </c>
      <c r="L262" s="16">
        <f>I262*J262</f>
        <v/>
      </c>
      <c r="M262" s="16">
        <f>ROUND(L262*(1-K262),2)</f>
        <v/>
      </c>
      <c r="N262" s="16" t="n">
        <v>2910</v>
      </c>
      <c r="O262" s="16">
        <f>I262*N262</f>
        <v/>
      </c>
      <c r="P262" s="18">
        <f>IFERROR((M262-O262)/M262,0)</f>
        <v/>
      </c>
      <c r="Q262" s="16" t="n">
        <v>114.88</v>
      </c>
      <c r="R262" s="9" t="inlineStr">
        <is>
          <t>Partner</t>
        </is>
      </c>
      <c r="S262" s="9" t="inlineStr">
        <is>
          <t>Morgan Reyes</t>
        </is>
      </c>
      <c r="T262" s="9" t="inlineStr">
        <is>
          <t>Shipped</t>
        </is>
      </c>
      <c r="U262" s="10" t="n">
        <v>280</v>
      </c>
      <c r="V262" s="9" t="inlineStr">
        <is>
          <t>Partner pickup</t>
        </is>
      </c>
    </row>
    <row r="263">
      <c r="A263" s="7" t="inlineStr">
        <is>
          <t>AP-31929</t>
        </is>
      </c>
      <c r="B263" s="23" t="n">
        <v>46206</v>
      </c>
      <c r="C263" s="7">
        <f>TEXT(B263,"yyyy-mm")</f>
        <v/>
      </c>
      <c r="D263" s="7" t="inlineStr">
        <is>
          <t>NLG-031</t>
        </is>
      </c>
      <c r="E263" s="9" t="inlineStr">
        <is>
          <t>Northlight Group</t>
        </is>
      </c>
      <c r="F263" s="9" t="inlineStr">
        <is>
          <t>Gulf Coast</t>
        </is>
      </c>
      <c r="G263" s="9" t="inlineStr">
        <is>
          <t>Sarasota</t>
        </is>
      </c>
      <c r="H263" s="9" t="inlineStr">
        <is>
          <t>Calibration service</t>
        </is>
      </c>
      <c r="I263" s="10" t="n">
        <v>3</v>
      </c>
      <c r="J263" s="16" t="n">
        <v>180</v>
      </c>
      <c r="K263" s="18" t="n">
        <v>0.08</v>
      </c>
      <c r="L263" s="16">
        <f>I263*J263</f>
        <v/>
      </c>
      <c r="M263" s="16">
        <f>ROUND(L263*(1-K263),2)</f>
        <v/>
      </c>
      <c r="N263" s="16" t="n">
        <v>99</v>
      </c>
      <c r="O263" s="16">
        <f>I263*N263</f>
        <v/>
      </c>
      <c r="P263" s="18">
        <f>IFERROR((M263-O263)/M263,0)</f>
        <v/>
      </c>
      <c r="Q263" s="16" t="n">
        <v>0</v>
      </c>
      <c r="R263" s="9" t="inlineStr">
        <is>
          <t>Partner</t>
        </is>
      </c>
      <c r="S263" s="9" t="inlineStr">
        <is>
          <t>Sami Torres</t>
        </is>
      </c>
      <c r="T263" s="9" t="inlineStr">
        <is>
          <t>Invoiced</t>
        </is>
      </c>
      <c r="U263" s="10" t="n">
        <v>281</v>
      </c>
      <c r="V263" s="9" t="inlineStr">
        <is>
          <t>Backorder cleared</t>
        </is>
      </c>
    </row>
    <row r="264">
      <c r="A264" s="7" t="inlineStr">
        <is>
          <t>AP-31933</t>
        </is>
      </c>
      <c r="B264" s="23" t="n">
        <v>46212</v>
      </c>
      <c r="C264" s="7">
        <f>TEXT(B264,"yyyy-mm")</f>
        <v/>
      </c>
      <c r="D264" s="7" t="inlineStr">
        <is>
          <t>NLG-044</t>
        </is>
      </c>
      <c r="E264" s="9" t="inlineStr">
        <is>
          <t>Northlight Group</t>
        </is>
      </c>
      <c r="F264" s="9" t="inlineStr">
        <is>
          <t>Central Florida</t>
        </is>
      </c>
      <c r="G264" s="9" t="inlineStr">
        <is>
          <t>Brandon</t>
        </is>
      </c>
      <c r="H264" s="9" t="inlineStr">
        <is>
          <t>On-site training</t>
        </is>
      </c>
      <c r="I264" s="10" t="n">
        <v>2</v>
      </c>
      <c r="J264" s="16" t="n">
        <v>650</v>
      </c>
      <c r="K264" s="18" t="n">
        <v>0.05</v>
      </c>
      <c r="L264" s="16">
        <f>I264*J264</f>
        <v/>
      </c>
      <c r="M264" s="16">
        <f>ROUND(L264*(1-K264),2)</f>
        <v/>
      </c>
      <c r="N264" s="16" t="n">
        <v>429</v>
      </c>
      <c r="O264" s="16">
        <f>I264*N264</f>
        <v/>
      </c>
      <c r="P264" s="18">
        <f>IFERROR((M264-O264)/M264,0)</f>
        <v/>
      </c>
      <c r="Q264" s="16" t="n">
        <v>0</v>
      </c>
      <c r="R264" s="9" t="inlineStr">
        <is>
          <t>Partner</t>
        </is>
      </c>
      <c r="S264" s="9" t="inlineStr">
        <is>
          <t>Avery Kellen</t>
        </is>
      </c>
      <c r="T264" s="9" t="inlineStr">
        <is>
          <t>Shipped</t>
        </is>
      </c>
      <c r="U264" s="10" t="n">
        <v>282</v>
      </c>
      <c r="V264" s="9" t="inlineStr">
        <is>
          <t>Partner pickup</t>
        </is>
      </c>
    </row>
    <row r="265">
      <c r="A265" s="7" t="inlineStr">
        <is>
          <t>AP-31942</t>
        </is>
      </c>
      <c r="B265" s="23" t="n">
        <v>46276</v>
      </c>
      <c r="C265" s="7">
        <f>TEXT(B265,"yyyy-mm")</f>
        <v/>
      </c>
      <c r="D265" s="7" t="inlineStr">
        <is>
          <t>NLG-022</t>
        </is>
      </c>
      <c r="E265" s="9" t="inlineStr">
        <is>
          <t>Northlight Group</t>
        </is>
      </c>
      <c r="F265" s="9" t="inlineStr">
        <is>
          <t>Central Florida</t>
        </is>
      </c>
      <c r="G265" s="9" t="inlineStr">
        <is>
          <t>Orlando</t>
        </is>
      </c>
      <c r="H265" s="9" t="inlineStr">
        <is>
          <t>On-site training</t>
        </is>
      </c>
      <c r="I265" s="10" t="n">
        <v>2</v>
      </c>
      <c r="J265" s="16" t="n">
        <v>650</v>
      </c>
      <c r="K265" s="18" t="n">
        <v>0</v>
      </c>
      <c r="L265" s="16">
        <f>I265*J265</f>
        <v/>
      </c>
      <c r="M265" s="16">
        <f>ROUND(L265*(1-K265),2)</f>
        <v/>
      </c>
      <c r="N265" s="16" t="n">
        <v>429</v>
      </c>
      <c r="O265" s="16">
        <f>I265*N265</f>
        <v/>
      </c>
      <c r="P265" s="18">
        <f>IFERROR((M265-O265)/M265,0)</f>
        <v/>
      </c>
      <c r="Q265" s="16" t="n">
        <v>0</v>
      </c>
      <c r="R265" s="9" t="inlineStr">
        <is>
          <t>Partner</t>
        </is>
      </c>
      <c r="S265" s="9" t="inlineStr">
        <is>
          <t>Avery Kellen</t>
        </is>
      </c>
      <c r="T265" s="9" t="inlineStr">
        <is>
          <t>Shipped</t>
        </is>
      </c>
      <c r="U265" s="10" t="n">
        <v>283</v>
      </c>
      <c r="V265" s="9" t="inlineStr"/>
    </row>
    <row r="266">
      <c r="A266" s="7" t="inlineStr">
        <is>
          <t>AP-31946</t>
        </is>
      </c>
      <c r="B266" s="23" t="n">
        <v>46220</v>
      </c>
      <c r="C266" s="7">
        <f>TEXT(B266,"yyyy-mm")</f>
        <v/>
      </c>
      <c r="D266" s="7" t="inlineStr">
        <is>
          <t>NLG-027</t>
        </is>
      </c>
      <c r="E266" s="9" t="inlineStr">
        <is>
          <t>Northlight Group</t>
        </is>
      </c>
      <c r="F266" s="9" t="inlineStr">
        <is>
          <t>Central Florida</t>
        </is>
      </c>
      <c r="G266" s="9" t="inlineStr">
        <is>
          <t>Lakeland</t>
        </is>
      </c>
      <c r="H266" s="9" t="inlineStr">
        <is>
          <t>Atlas Care Plus</t>
        </is>
      </c>
      <c r="I266" s="10" t="n">
        <v>5</v>
      </c>
      <c r="J266" s="16" t="n">
        <v>1788</v>
      </c>
      <c r="K266" s="18" t="n">
        <v>0.05</v>
      </c>
      <c r="L266" s="16">
        <f>I266*J266</f>
        <v/>
      </c>
      <c r="M266" s="16">
        <f>ROUND(L266*(1-K266),2)</f>
        <v/>
      </c>
      <c r="N266" s="16" t="n">
        <v>447</v>
      </c>
      <c r="O266" s="16">
        <f>I266*N266</f>
        <v/>
      </c>
      <c r="P266" s="18">
        <f>IFERROR((M266-O266)/M266,0)</f>
        <v/>
      </c>
      <c r="Q266" s="16" t="n">
        <v>0</v>
      </c>
      <c r="R266" s="9" t="inlineStr">
        <is>
          <t>Partner</t>
        </is>
      </c>
      <c r="S266" s="9" t="inlineStr">
        <is>
          <t>Sami Torres</t>
        </is>
      </c>
      <c r="T266" s="9" t="inlineStr">
        <is>
          <t>Shipped</t>
        </is>
      </c>
      <c r="U266" s="10" t="n">
        <v>284</v>
      </c>
      <c r="V266" s="9" t="inlineStr">
        <is>
          <t>PO on file</t>
        </is>
      </c>
    </row>
    <row r="267">
      <c r="A267" s="7" t="inlineStr">
        <is>
          <t>AP-31956</t>
        </is>
      </c>
      <c r="B267" s="23" t="n">
        <v>46276</v>
      </c>
      <c r="C267" s="7">
        <f>TEXT(B267,"yyyy-mm")</f>
        <v/>
      </c>
      <c r="D267" s="7" t="inlineStr">
        <is>
          <t>DIR-000</t>
        </is>
      </c>
      <c r="E267" s="9" t="inlineStr">
        <is>
          <t>Apex Instruments direct</t>
        </is>
      </c>
      <c r="F267" s="9" t="inlineStr">
        <is>
          <t>House</t>
        </is>
      </c>
      <c r="G267" s="9" t="inlineStr">
        <is>
          <t>Tampa</t>
        </is>
      </c>
      <c r="H267" s="9" t="inlineStr">
        <is>
          <t>Meridian Pro</t>
        </is>
      </c>
      <c r="I267" s="10" t="n">
        <v>1</v>
      </c>
      <c r="J267" s="16" t="n">
        <v>7900</v>
      </c>
      <c r="K267" s="18" t="n">
        <v>0.08</v>
      </c>
      <c r="L267" s="16">
        <f>I267*J267</f>
        <v/>
      </c>
      <c r="M267" s="16">
        <f>ROUND(L267*(1-K267),2)</f>
        <v/>
      </c>
      <c r="N267" s="16" t="n">
        <v>4345</v>
      </c>
      <c r="O267" s="16">
        <f>I267*N267</f>
        <v/>
      </c>
      <c r="P267" s="18">
        <f>IFERROR((M267-O267)/M267,0)</f>
        <v/>
      </c>
      <c r="Q267" s="16" t="n">
        <v>124.37</v>
      </c>
      <c r="R267" s="9" t="inlineStr">
        <is>
          <t>Direct</t>
        </is>
      </c>
      <c r="S267" s="9" t="inlineStr">
        <is>
          <t>Morgan Reyes</t>
        </is>
      </c>
      <c r="T267" s="9" t="inlineStr">
        <is>
          <t>Shipped</t>
        </is>
      </c>
      <c r="U267" s="10" t="n">
        <v>285</v>
      </c>
      <c r="V267" s="9" t="inlineStr">
        <is>
          <t>Partner pickup</t>
        </is>
      </c>
    </row>
    <row r="268">
      <c r="A268" s="7" t="inlineStr">
        <is>
          <t>AP-31963</t>
        </is>
      </c>
      <c r="B268" s="23" t="n">
        <v>46210</v>
      </c>
      <c r="C268" s="7">
        <f>TEXT(B268,"yyyy-mm")</f>
        <v/>
      </c>
      <c r="D268" s="7" t="inlineStr">
        <is>
          <t>NLG-014</t>
        </is>
      </c>
      <c r="E268" s="9" t="inlineStr">
        <is>
          <t>Northlight Group</t>
        </is>
      </c>
      <c r="F268" s="9" t="inlineStr">
        <is>
          <t>Gulf Coast</t>
        </is>
      </c>
      <c r="G268" s="9" t="inlineStr">
        <is>
          <t>St. Petersburg</t>
        </is>
      </c>
      <c r="H268" s="9" t="inlineStr">
        <is>
          <t>Atlas Care Plus</t>
        </is>
      </c>
      <c r="I268" s="10" t="n">
        <v>3</v>
      </c>
      <c r="J268" s="16" t="n">
        <v>1788</v>
      </c>
      <c r="K268" s="18" t="n">
        <v>0</v>
      </c>
      <c r="L268" s="16">
        <f>I268*J268</f>
        <v/>
      </c>
      <c r="M268" s="16">
        <f>ROUND(L268*(1-K268),2)</f>
        <v/>
      </c>
      <c r="N268" s="16" t="n">
        <v>447</v>
      </c>
      <c r="O268" s="16">
        <f>I268*N268</f>
        <v/>
      </c>
      <c r="P268" s="18">
        <f>IFERROR((M268-O268)/M268,0)</f>
        <v/>
      </c>
      <c r="Q268" s="16" t="n">
        <v>0</v>
      </c>
      <c r="R268" s="9" t="inlineStr">
        <is>
          <t>Partner</t>
        </is>
      </c>
      <c r="S268" s="9" t="inlineStr">
        <is>
          <t>Jordan Vale</t>
        </is>
      </c>
      <c r="T268" s="9" t="inlineStr">
        <is>
          <t>Invoiced</t>
        </is>
      </c>
      <c r="U268" s="10" t="n">
        <v>286</v>
      </c>
      <c r="V268" s="9" t="inlineStr">
        <is>
          <t>Backorder cleared</t>
        </is>
      </c>
    </row>
    <row r="269">
      <c r="A269" s="7" t="inlineStr">
        <is>
          <t>AP-31970</t>
        </is>
      </c>
      <c r="B269" s="23" t="n">
        <v>46287</v>
      </c>
      <c r="C269" s="7">
        <f>TEXT(B269,"yyyy-mm")</f>
        <v/>
      </c>
      <c r="D269" s="7" t="inlineStr">
        <is>
          <t>DIR-000</t>
        </is>
      </c>
      <c r="E269" s="9" t="inlineStr">
        <is>
          <t>Apex Instruments direct</t>
        </is>
      </c>
      <c r="F269" s="9" t="inlineStr">
        <is>
          <t>House</t>
        </is>
      </c>
      <c r="G269" s="9" t="inlineStr">
        <is>
          <t>Tampa</t>
        </is>
      </c>
      <c r="H269" s="9" t="inlineStr">
        <is>
          <t>Calibration service</t>
        </is>
      </c>
      <c r="I269" s="10" t="n">
        <v>4</v>
      </c>
      <c r="J269" s="16" t="n">
        <v>180</v>
      </c>
      <c r="K269" s="18" t="n">
        <v>0</v>
      </c>
      <c r="L269" s="16">
        <f>I269*J269</f>
        <v/>
      </c>
      <c r="M269" s="16">
        <f>ROUND(L269*(1-K269),2)</f>
        <v/>
      </c>
      <c r="N269" s="16" t="n">
        <v>99</v>
      </c>
      <c r="O269" s="16">
        <f>I269*N269</f>
        <v/>
      </c>
      <c r="P269" s="18">
        <f>IFERROR((M269-O269)/M269,0)</f>
        <v/>
      </c>
      <c r="Q269" s="16" t="n">
        <v>0</v>
      </c>
      <c r="R269" s="9" t="inlineStr">
        <is>
          <t>Direct</t>
        </is>
      </c>
      <c r="S269" s="9" t="inlineStr">
        <is>
          <t>Morgan Reyes</t>
        </is>
      </c>
      <c r="T269" s="9" t="inlineStr">
        <is>
          <t>Shipped</t>
        </is>
      </c>
      <c r="U269" s="10" t="n">
        <v>287</v>
      </c>
      <c r="V269" s="9" t="inlineStr"/>
    </row>
    <row r="270">
      <c r="A270" s="7" t="inlineStr">
        <is>
          <t>AP-31978</t>
        </is>
      </c>
      <c r="B270" s="23" t="n">
        <v>46247</v>
      </c>
      <c r="C270" s="7">
        <f>TEXT(B270,"yyyy-mm")</f>
        <v/>
      </c>
      <c r="D270" s="7" t="inlineStr">
        <is>
          <t>NLG-031</t>
        </is>
      </c>
      <c r="E270" s="9" t="inlineStr">
        <is>
          <t>Northlight Group</t>
        </is>
      </c>
      <c r="F270" s="9" t="inlineStr">
        <is>
          <t>Gulf Coast</t>
        </is>
      </c>
      <c r="G270" s="9" t="inlineStr">
        <is>
          <t>Sarasota</t>
        </is>
      </c>
      <c r="H270" s="9" t="inlineStr">
        <is>
          <t>Calibration service</t>
        </is>
      </c>
      <c r="I270" s="10" t="n">
        <v>3</v>
      </c>
      <c r="J270" s="16" t="n">
        <v>180</v>
      </c>
      <c r="K270" s="18" t="n">
        <v>0</v>
      </c>
      <c r="L270" s="16">
        <f>I270*J270</f>
        <v/>
      </c>
      <c r="M270" s="16">
        <f>ROUND(L270*(1-K270),2)</f>
        <v/>
      </c>
      <c r="N270" s="16" t="n">
        <v>99</v>
      </c>
      <c r="O270" s="16">
        <f>I270*N270</f>
        <v/>
      </c>
      <c r="P270" s="18">
        <f>IFERROR((M270-O270)/M270,0)</f>
        <v/>
      </c>
      <c r="Q270" s="16" t="n">
        <v>0</v>
      </c>
      <c r="R270" s="9" t="inlineStr">
        <is>
          <t>Partner</t>
        </is>
      </c>
      <c r="S270" s="9" t="inlineStr">
        <is>
          <t>Jordan Vale</t>
        </is>
      </c>
      <c r="T270" s="9" t="inlineStr">
        <is>
          <t>Open</t>
        </is>
      </c>
      <c r="U270" s="10" t="n">
        <v>288</v>
      </c>
      <c r="V270" s="9" t="inlineStr">
        <is>
          <t>Ship with calibration cert</t>
        </is>
      </c>
    </row>
    <row r="271">
      <c r="A271" s="7" t="inlineStr">
        <is>
          <t>AP-31985</t>
        </is>
      </c>
      <c r="B271" s="23" t="n">
        <v>46256</v>
      </c>
      <c r="C271" s="7">
        <f>TEXT(B271,"yyyy-mm")</f>
        <v/>
      </c>
      <c r="D271" s="7" t="inlineStr">
        <is>
          <t>DIR-000</t>
        </is>
      </c>
      <c r="E271" s="9" t="inlineStr">
        <is>
          <t>Apex Instruments direct</t>
        </is>
      </c>
      <c r="F271" s="9" t="inlineStr">
        <is>
          <t>House</t>
        </is>
      </c>
      <c r="G271" s="9" t="inlineStr">
        <is>
          <t>Tampa</t>
        </is>
      </c>
      <c r="H271" s="9" t="inlineStr">
        <is>
          <t>Atlas Care Plus</t>
        </is>
      </c>
      <c r="I271" s="10" t="n">
        <v>1</v>
      </c>
      <c r="J271" s="16" t="n">
        <v>1788</v>
      </c>
      <c r="K271" s="18" t="n">
        <v>0.1</v>
      </c>
      <c r="L271" s="16">
        <f>I271*J271</f>
        <v/>
      </c>
      <c r="M271" s="16">
        <f>ROUND(L271*(1-K271),2)</f>
        <v/>
      </c>
      <c r="N271" s="16" t="n">
        <v>447</v>
      </c>
      <c r="O271" s="16">
        <f>I271*N271</f>
        <v/>
      </c>
      <c r="P271" s="18">
        <f>IFERROR((M271-O271)/M271,0)</f>
        <v/>
      </c>
      <c r="Q271" s="16" t="n">
        <v>0</v>
      </c>
      <c r="R271" s="9" t="inlineStr">
        <is>
          <t>Direct</t>
        </is>
      </c>
      <c r="S271" s="9" t="inlineStr">
        <is>
          <t>Avery Kellen</t>
        </is>
      </c>
      <c r="T271" s="9" t="inlineStr">
        <is>
          <t>Shipped</t>
        </is>
      </c>
      <c r="U271" s="10" t="n">
        <v>289</v>
      </c>
      <c r="V271" s="9" t="inlineStr"/>
    </row>
    <row r="272">
      <c r="A272" s="7" t="inlineStr">
        <is>
          <t>AP-31992</t>
        </is>
      </c>
      <c r="B272" s="23" t="n">
        <v>46248</v>
      </c>
      <c r="C272" s="7">
        <f>TEXT(B272,"yyyy-mm")</f>
        <v/>
      </c>
      <c r="D272" s="7" t="inlineStr">
        <is>
          <t>NLG-044</t>
        </is>
      </c>
      <c r="E272" s="9" t="inlineStr">
        <is>
          <t>Northlight Group</t>
        </is>
      </c>
      <c r="F272" s="9" t="inlineStr">
        <is>
          <t>Central Florida</t>
        </is>
      </c>
      <c r="G272" s="9" t="inlineStr">
        <is>
          <t>Brandon</t>
        </is>
      </c>
      <c r="H272" s="9" t="inlineStr">
        <is>
          <t>Atlas Care Plus</t>
        </is>
      </c>
      <c r="I272" s="10" t="n">
        <v>7</v>
      </c>
      <c r="J272" s="16" t="n">
        <v>1788</v>
      </c>
      <c r="K272" s="18" t="n">
        <v>0</v>
      </c>
      <c r="L272" s="16">
        <f>I272*J272</f>
        <v/>
      </c>
      <c r="M272" s="16">
        <f>ROUND(L272*(1-K272),2)</f>
        <v/>
      </c>
      <c r="N272" s="16" t="n">
        <v>447</v>
      </c>
      <c r="O272" s="16">
        <f>I272*N272</f>
        <v/>
      </c>
      <c r="P272" s="18">
        <f>IFERROR((M272-O272)/M272,0)</f>
        <v/>
      </c>
      <c r="Q272" s="16" t="n">
        <v>0</v>
      </c>
      <c r="R272" s="9" t="inlineStr">
        <is>
          <t>Partner</t>
        </is>
      </c>
      <c r="S272" s="9" t="inlineStr">
        <is>
          <t>Sami Torres</t>
        </is>
      </c>
      <c r="T272" s="9" t="inlineStr">
        <is>
          <t>Shipped</t>
        </is>
      </c>
      <c r="U272" s="10" t="n">
        <v>290</v>
      </c>
      <c r="V272" s="9" t="inlineStr">
        <is>
          <t>Rush requested</t>
        </is>
      </c>
    </row>
    <row r="273">
      <c r="A273" s="7" t="inlineStr">
        <is>
          <t>AP-31995</t>
        </is>
      </c>
      <c r="B273" s="23" t="n">
        <v>46268</v>
      </c>
      <c r="C273" s="7">
        <f>TEXT(B273,"yyyy-mm")</f>
        <v/>
      </c>
      <c r="D273" s="7" t="inlineStr">
        <is>
          <t>NLG-036</t>
        </is>
      </c>
      <c r="E273" s="9" t="inlineStr">
        <is>
          <t>Northlight Group</t>
        </is>
      </c>
      <c r="F273" s="9" t="inlineStr">
        <is>
          <t>Gulf Coast</t>
        </is>
      </c>
      <c r="G273" s="9" t="inlineStr">
        <is>
          <t>Clearwater</t>
        </is>
      </c>
      <c r="H273" s="9" t="inlineStr">
        <is>
          <t>On-site training</t>
        </is>
      </c>
      <c r="I273" s="10" t="n">
        <v>3</v>
      </c>
      <c r="J273" s="16" t="n">
        <v>650</v>
      </c>
      <c r="K273" s="18" t="n">
        <v>0.03</v>
      </c>
      <c r="L273" s="16">
        <f>I273*J273</f>
        <v/>
      </c>
      <c r="M273" s="16">
        <f>ROUND(L273*(1-K273),2)</f>
        <v/>
      </c>
      <c r="N273" s="16" t="n">
        <v>429</v>
      </c>
      <c r="O273" s="16">
        <f>I273*N273</f>
        <v/>
      </c>
      <c r="P273" s="18">
        <f>IFERROR((M273-O273)/M273,0)</f>
        <v/>
      </c>
      <c r="Q273" s="16" t="n">
        <v>0</v>
      </c>
      <c r="R273" s="9" t="inlineStr">
        <is>
          <t>Partner</t>
        </is>
      </c>
      <c r="S273" s="9" t="inlineStr">
        <is>
          <t>Morgan Reyes</t>
        </is>
      </c>
      <c r="T273" s="9" t="inlineStr">
        <is>
          <t>Invoiced</t>
        </is>
      </c>
      <c r="U273" s="10" t="n">
        <v>291</v>
      </c>
      <c r="V273" s="9" t="inlineStr"/>
    </row>
    <row r="274">
      <c r="A274" s="7" t="inlineStr">
        <is>
          <t>AP-32005</t>
        </is>
      </c>
      <c r="B274" s="23" t="n">
        <v>46266</v>
      </c>
      <c r="C274" s="7">
        <f>TEXT(B274,"yyyy-mm")</f>
        <v/>
      </c>
      <c r="D274" s="7" t="inlineStr">
        <is>
          <t>NLG-036</t>
        </is>
      </c>
      <c r="E274" s="9" t="inlineStr">
        <is>
          <t>Northlight Group</t>
        </is>
      </c>
      <c r="F274" s="9" t="inlineStr">
        <is>
          <t>Gulf Coast</t>
        </is>
      </c>
      <c r="G274" s="9" t="inlineStr">
        <is>
          <t>Clearwater</t>
        </is>
      </c>
      <c r="H274" s="9" t="inlineStr">
        <is>
          <t>Atlas Care Plus</t>
        </is>
      </c>
      <c r="I274" s="10" t="n">
        <v>12</v>
      </c>
      <c r="J274" s="16" t="n">
        <v>1788</v>
      </c>
      <c r="K274" s="18" t="n">
        <v>0</v>
      </c>
      <c r="L274" s="16">
        <f>I274*J274</f>
        <v/>
      </c>
      <c r="M274" s="16">
        <f>ROUND(L274*(1-K274),2)</f>
        <v/>
      </c>
      <c r="N274" s="16" t="n">
        <v>447</v>
      </c>
      <c r="O274" s="16">
        <f>I274*N274</f>
        <v/>
      </c>
      <c r="P274" s="18">
        <f>IFERROR((M274-O274)/M274,0)</f>
        <v/>
      </c>
      <c r="Q274" s="16" t="n">
        <v>0</v>
      </c>
      <c r="R274" s="9" t="inlineStr">
        <is>
          <t>Partner</t>
        </is>
      </c>
      <c r="S274" s="9" t="inlineStr">
        <is>
          <t>Morgan Reyes</t>
        </is>
      </c>
      <c r="T274" s="9" t="inlineStr">
        <is>
          <t>Invoiced</t>
        </is>
      </c>
      <c r="U274" s="10" t="n">
        <v>292</v>
      </c>
      <c r="V274" s="9" t="inlineStr">
        <is>
          <t>Replaces damaged unit</t>
        </is>
      </c>
    </row>
    <row r="275">
      <c r="A275" s="7" t="inlineStr">
        <is>
          <t>AP-32012</t>
        </is>
      </c>
      <c r="B275" s="23" t="n">
        <v>46294</v>
      </c>
      <c r="C275" s="7">
        <f>TEXT(B275,"yyyy-mm")</f>
        <v/>
      </c>
      <c r="D275" s="7" t="inlineStr">
        <is>
          <t>NLG-022</t>
        </is>
      </c>
      <c r="E275" s="9" t="inlineStr">
        <is>
          <t>Northlight Group</t>
        </is>
      </c>
      <c r="F275" s="9" t="inlineStr">
        <is>
          <t>Central Florida</t>
        </is>
      </c>
      <c r="G275" s="9" t="inlineStr">
        <is>
          <t>Orlando</t>
        </is>
      </c>
      <c r="H275" s="9" t="inlineStr">
        <is>
          <t>Calibration service</t>
        </is>
      </c>
      <c r="I275" s="10" t="n">
        <v>4</v>
      </c>
      <c r="J275" s="16" t="n">
        <v>180</v>
      </c>
      <c r="K275" s="18" t="n">
        <v>0.05</v>
      </c>
      <c r="L275" s="16">
        <f>I275*J275</f>
        <v/>
      </c>
      <c r="M275" s="16">
        <f>ROUND(L275*(1-K275),2)</f>
        <v/>
      </c>
      <c r="N275" s="16" t="n">
        <v>99</v>
      </c>
      <c r="O275" s="16">
        <f>I275*N275</f>
        <v/>
      </c>
      <c r="P275" s="18">
        <f>IFERROR((M275-O275)/M275,0)</f>
        <v/>
      </c>
      <c r="Q275" s="16" t="n">
        <v>0</v>
      </c>
      <c r="R275" s="9" t="inlineStr">
        <is>
          <t>Partner</t>
        </is>
      </c>
      <c r="S275" s="9" t="inlineStr">
        <is>
          <t>Sami Torres</t>
        </is>
      </c>
      <c r="T275" s="9" t="inlineStr">
        <is>
          <t>Open</t>
        </is>
      </c>
      <c r="U275" s="10" t="n">
        <v>293</v>
      </c>
      <c r="V275" s="9" t="inlineStr">
        <is>
          <t>Split shipment</t>
        </is>
      </c>
    </row>
    <row r="276">
      <c r="A276" s="7" t="inlineStr">
        <is>
          <t>AP-32027</t>
        </is>
      </c>
      <c r="B276" s="23" t="n">
        <v>46241</v>
      </c>
      <c r="C276" s="7">
        <f>TEXT(B276,"yyyy-mm")</f>
        <v/>
      </c>
      <c r="D276" s="7" t="inlineStr">
        <is>
          <t>NLG-014</t>
        </is>
      </c>
      <c r="E276" s="9" t="inlineStr">
        <is>
          <t>Northlight Group</t>
        </is>
      </c>
      <c r="F276" s="9" t="inlineStr">
        <is>
          <t>Gulf Coast</t>
        </is>
      </c>
      <c r="G276" s="9" t="inlineStr">
        <is>
          <t>St. Petersburg</t>
        </is>
      </c>
      <c r="H276" s="9" t="inlineStr">
        <is>
          <t>Meridian Field Kit</t>
        </is>
      </c>
      <c r="I276" s="10" t="n">
        <v>8</v>
      </c>
      <c r="J276" s="16" t="n">
        <v>1240</v>
      </c>
      <c r="K276" s="18" t="n">
        <v>0</v>
      </c>
      <c r="L276" s="16">
        <f>I276*J276</f>
        <v/>
      </c>
      <c r="M276" s="16">
        <f>ROUND(L276*(1-K276),2)</f>
        <v/>
      </c>
      <c r="N276" s="16" t="n">
        <v>806</v>
      </c>
      <c r="O276" s="16">
        <f>I276*N276</f>
        <v/>
      </c>
      <c r="P276" s="18">
        <f>IFERROR((M276-O276)/M276,0)</f>
        <v/>
      </c>
      <c r="Q276" s="16" t="n">
        <v>89.69</v>
      </c>
      <c r="R276" s="9" t="inlineStr">
        <is>
          <t>Partner</t>
        </is>
      </c>
      <c r="S276" s="9" t="inlineStr">
        <is>
          <t>Sami Torres</t>
        </is>
      </c>
      <c r="T276" s="9" t="inlineStr">
        <is>
          <t>Shipped</t>
        </is>
      </c>
      <c r="U276" s="10" t="n">
        <v>295</v>
      </c>
      <c r="V276" s="9" t="inlineStr">
        <is>
          <t>Split shipment</t>
        </is>
      </c>
    </row>
    <row r="277">
      <c r="A277" s="7" t="inlineStr">
        <is>
          <t>AP-32031</t>
        </is>
      </c>
      <c r="B277" s="23" t="n">
        <v>46245</v>
      </c>
      <c r="C277" s="7">
        <f>TEXT(B277,"yyyy-mm")</f>
        <v/>
      </c>
      <c r="D277" s="7" t="inlineStr">
        <is>
          <t>NLG-036</t>
        </is>
      </c>
      <c r="E277" s="9" t="inlineStr">
        <is>
          <t>Northlight Group</t>
        </is>
      </c>
      <c r="F277" s="9" t="inlineStr">
        <is>
          <t>Gulf Coast</t>
        </is>
      </c>
      <c r="G277" s="9" t="inlineStr">
        <is>
          <t>Clearwater</t>
        </is>
      </c>
      <c r="H277" s="9" t="inlineStr">
        <is>
          <t>Meridian Field Kit</t>
        </is>
      </c>
      <c r="I277" s="10" t="n">
        <v>2</v>
      </c>
      <c r="J277" s="16" t="n">
        <v>1240</v>
      </c>
      <c r="K277" s="18" t="n">
        <v>0.15</v>
      </c>
      <c r="L277" s="16">
        <f>I277*J277</f>
        <v/>
      </c>
      <c r="M277" s="16">
        <f>ROUND(L277*(1-K277),2)</f>
        <v/>
      </c>
      <c r="N277" s="16" t="n">
        <v>806</v>
      </c>
      <c r="O277" s="16">
        <f>I277*N277</f>
        <v/>
      </c>
      <c r="P277" s="18">
        <f>IFERROR((M277-O277)/M277,0)</f>
        <v/>
      </c>
      <c r="Q277" s="16" t="n">
        <v>176.67</v>
      </c>
      <c r="R277" s="9" t="inlineStr">
        <is>
          <t>Partner</t>
        </is>
      </c>
      <c r="S277" s="9" t="inlineStr">
        <is>
          <t>Jordan Vale</t>
        </is>
      </c>
      <c r="T277" s="9" t="inlineStr">
        <is>
          <t>Invoiced</t>
        </is>
      </c>
      <c r="U277" s="10" t="n">
        <v>296</v>
      </c>
      <c r="V277" s="9" t="inlineStr">
        <is>
          <t>Partner pickup</t>
        </is>
      </c>
    </row>
    <row r="278">
      <c r="A278" s="7" t="inlineStr">
        <is>
          <t>AP-32040</t>
        </is>
      </c>
      <c r="B278" s="23" t="n">
        <v>46239</v>
      </c>
      <c r="C278" s="7">
        <f>TEXT(B278,"yyyy-mm")</f>
        <v/>
      </c>
      <c r="D278" s="7" t="inlineStr">
        <is>
          <t>DIR-000</t>
        </is>
      </c>
      <c r="E278" s="9" t="inlineStr">
        <is>
          <t>Apex Instruments direct</t>
        </is>
      </c>
      <c r="F278" s="9" t="inlineStr">
        <is>
          <t>House</t>
        </is>
      </c>
      <c r="G278" s="9" t="inlineStr">
        <is>
          <t>Tampa</t>
        </is>
      </c>
      <c r="H278" s="9" t="inlineStr">
        <is>
          <t>On-site training</t>
        </is>
      </c>
      <c r="I278" s="10" t="n">
        <v>1</v>
      </c>
      <c r="J278" s="16" t="n">
        <v>650</v>
      </c>
      <c r="K278" s="18" t="n">
        <v>0</v>
      </c>
      <c r="L278" s="16">
        <f>I278*J278</f>
        <v/>
      </c>
      <c r="M278" s="16">
        <f>ROUND(L278*(1-K278),2)</f>
        <v/>
      </c>
      <c r="N278" s="16" t="n">
        <v>429</v>
      </c>
      <c r="O278" s="16">
        <f>I278*N278</f>
        <v/>
      </c>
      <c r="P278" s="18">
        <f>IFERROR((M278-O278)/M278,0)</f>
        <v/>
      </c>
      <c r="Q278" s="16" t="n">
        <v>0</v>
      </c>
      <c r="R278" s="9" t="inlineStr">
        <is>
          <t>Direct</t>
        </is>
      </c>
      <c r="S278" s="9" t="inlineStr">
        <is>
          <t>Sami Torres</t>
        </is>
      </c>
      <c r="T278" s="9" t="inlineStr">
        <is>
          <t>Open</t>
        </is>
      </c>
      <c r="U278" s="10" t="n">
        <v>297</v>
      </c>
      <c r="V278" s="9" t="inlineStr">
        <is>
          <t>Quote 2026-Q3 pricing</t>
        </is>
      </c>
    </row>
    <row r="279">
      <c r="A279" s="7" t="inlineStr">
        <is>
          <t>AP-32046</t>
        </is>
      </c>
      <c r="B279" s="23" t="n">
        <v>46246</v>
      </c>
      <c r="C279" s="7">
        <f>TEXT(B279,"yyyy-mm")</f>
        <v/>
      </c>
      <c r="D279" s="7" t="inlineStr">
        <is>
          <t>NLG-022</t>
        </is>
      </c>
      <c r="E279" s="9" t="inlineStr">
        <is>
          <t>Northlight Group</t>
        </is>
      </c>
      <c r="F279" s="9" t="inlineStr">
        <is>
          <t>Central Florida</t>
        </is>
      </c>
      <c r="G279" s="9" t="inlineStr">
        <is>
          <t>Orlando</t>
        </is>
      </c>
      <c r="H279" s="9" t="inlineStr">
        <is>
          <t>Meridian Pro</t>
        </is>
      </c>
      <c r="I279" s="10" t="n">
        <v>1</v>
      </c>
      <c r="J279" s="16" t="n">
        <v>7900</v>
      </c>
      <c r="K279" s="18" t="n">
        <v>0</v>
      </c>
      <c r="L279" s="16">
        <f>I279*J279</f>
        <v/>
      </c>
      <c r="M279" s="16">
        <f>ROUND(L279*(1-K279),2)</f>
        <v/>
      </c>
      <c r="N279" s="16" t="n">
        <v>4345</v>
      </c>
      <c r="O279" s="16">
        <f>I279*N279</f>
        <v/>
      </c>
      <c r="P279" s="18">
        <f>IFERROR((M279-O279)/M279,0)</f>
        <v/>
      </c>
      <c r="Q279" s="16" t="n">
        <v>131.08</v>
      </c>
      <c r="R279" s="9" t="inlineStr">
        <is>
          <t>Partner</t>
        </is>
      </c>
      <c r="S279" s="9" t="inlineStr">
        <is>
          <t>Avery Kellen</t>
        </is>
      </c>
      <c r="T279" s="9" t="inlineStr">
        <is>
          <t>Open</t>
        </is>
      </c>
      <c r="U279" s="10" t="n">
        <v>298</v>
      </c>
      <c r="V279" s="9" t="inlineStr">
        <is>
          <t>PO on file</t>
        </is>
      </c>
    </row>
    <row r="280">
      <c r="A280" s="7" t="inlineStr">
        <is>
          <t>AP-32051</t>
        </is>
      </c>
      <c r="B280" s="23" t="n">
        <v>46238</v>
      </c>
      <c r="C280" s="7">
        <f>TEXT(B280,"yyyy-mm")</f>
        <v/>
      </c>
      <c r="D280" s="7" t="inlineStr">
        <is>
          <t>NLG-014</t>
        </is>
      </c>
      <c r="E280" s="9" t="inlineStr">
        <is>
          <t>Northlight Group</t>
        </is>
      </c>
      <c r="F280" s="9" t="inlineStr">
        <is>
          <t>Gulf Coast</t>
        </is>
      </c>
      <c r="G280" s="9" t="inlineStr">
        <is>
          <t>St. Petersburg</t>
        </is>
      </c>
      <c r="H280" s="9" t="inlineStr">
        <is>
          <t>Meridian Pro</t>
        </is>
      </c>
      <c r="I280" s="10" t="n">
        <v>1</v>
      </c>
      <c r="J280" s="16" t="n">
        <v>7900</v>
      </c>
      <c r="K280" s="18" t="n">
        <v>0</v>
      </c>
      <c r="L280" s="16">
        <f>I280*J280</f>
        <v/>
      </c>
      <c r="M280" s="16">
        <f>ROUND(L280*(1-K280),2)</f>
        <v/>
      </c>
      <c r="N280" s="16" t="n">
        <v>4345</v>
      </c>
      <c r="O280" s="16">
        <f>I280*N280</f>
        <v/>
      </c>
      <c r="P280" s="18">
        <f>IFERROR((M280-O280)/M280,0)</f>
        <v/>
      </c>
      <c r="Q280" s="16" t="n">
        <v>151.5</v>
      </c>
      <c r="R280" s="9" t="inlineStr">
        <is>
          <t>Partner</t>
        </is>
      </c>
      <c r="S280" s="9" t="inlineStr">
        <is>
          <t>Morgan Reyes</t>
        </is>
      </c>
      <c r="T280" s="9" t="inlineStr">
        <is>
          <t>Invoiced</t>
        </is>
      </c>
      <c r="U280" s="10" t="n">
        <v>299</v>
      </c>
      <c r="V280" s="9" t="inlineStr">
        <is>
          <t>Renewal</t>
        </is>
      </c>
    </row>
    <row r="281">
      <c r="A281" s="7" t="inlineStr">
        <is>
          <t>AP-32058</t>
        </is>
      </c>
      <c r="B281" s="23" t="n">
        <v>46284</v>
      </c>
      <c r="C281" s="7">
        <f>TEXT(B281,"yyyy-mm")</f>
        <v/>
      </c>
      <c r="D281" s="7" t="inlineStr">
        <is>
          <t>NLG-014</t>
        </is>
      </c>
      <c r="E281" s="9" t="inlineStr">
        <is>
          <t>Northlight Group</t>
        </is>
      </c>
      <c r="F281" s="9" t="inlineStr">
        <is>
          <t>Gulf Coast</t>
        </is>
      </c>
      <c r="G281" s="9" t="inlineStr">
        <is>
          <t>St. Petersburg</t>
        </is>
      </c>
      <c r="H281" s="9" t="inlineStr">
        <is>
          <t>On-site training</t>
        </is>
      </c>
      <c r="I281" s="10" t="n">
        <v>3</v>
      </c>
      <c r="J281" s="16" t="n">
        <v>650</v>
      </c>
      <c r="K281" s="18" t="n">
        <v>0.08</v>
      </c>
      <c r="L281" s="16">
        <f>I281*J281</f>
        <v/>
      </c>
      <c r="M281" s="16">
        <f>ROUND(L281*(1-K281),2)</f>
        <v/>
      </c>
      <c r="N281" s="16" t="n">
        <v>429</v>
      </c>
      <c r="O281" s="16">
        <f>I281*N281</f>
        <v/>
      </c>
      <c r="P281" s="18">
        <f>IFERROR((M281-O281)/M281,0)</f>
        <v/>
      </c>
      <c r="Q281" s="16" t="n">
        <v>0</v>
      </c>
      <c r="R281" s="9" t="inlineStr">
        <is>
          <t>Partner</t>
        </is>
      </c>
      <c r="S281" s="9" t="inlineStr">
        <is>
          <t>Sami Torres</t>
        </is>
      </c>
      <c r="T281" s="9" t="inlineStr">
        <is>
          <t>Shipped</t>
        </is>
      </c>
      <c r="U281" s="10" t="n">
        <v>300</v>
      </c>
      <c r="V281" s="9" t="inlineStr"/>
    </row>
    <row r="282">
      <c r="A282" s="7" t="inlineStr">
        <is>
          <t>AP-32066</t>
        </is>
      </c>
      <c r="B282" s="23" t="n">
        <v>46287</v>
      </c>
      <c r="C282" s="7">
        <f>TEXT(B282,"yyyy-mm")</f>
        <v/>
      </c>
      <c r="D282" s="7" t="inlineStr">
        <is>
          <t>NLG-036</t>
        </is>
      </c>
      <c r="E282" s="9" t="inlineStr">
        <is>
          <t>Northlight Group</t>
        </is>
      </c>
      <c r="F282" s="9" t="inlineStr">
        <is>
          <t>Gulf Coast</t>
        </is>
      </c>
      <c r="G282" s="9" t="inlineStr">
        <is>
          <t>Clearwater</t>
        </is>
      </c>
      <c r="H282" s="9" t="inlineStr">
        <is>
          <t>Meridian Field Kit</t>
        </is>
      </c>
      <c r="I282" s="10" t="n">
        <v>6</v>
      </c>
      <c r="J282" s="16" t="n">
        <v>1240</v>
      </c>
      <c r="K282" s="18" t="n">
        <v>0.03</v>
      </c>
      <c r="L282" s="16">
        <f>I282*J282</f>
        <v/>
      </c>
      <c r="M282" s="16">
        <f>ROUND(L282*(1-K282),2)</f>
        <v/>
      </c>
      <c r="N282" s="16" t="n">
        <v>806</v>
      </c>
      <c r="O282" s="16">
        <f>I282*N282</f>
        <v/>
      </c>
      <c r="P282" s="18">
        <f>IFERROR((M282-O282)/M282,0)</f>
        <v/>
      </c>
      <c r="Q282" s="16" t="n">
        <v>151.75</v>
      </c>
      <c r="R282" s="9" t="inlineStr">
        <is>
          <t>Partner</t>
        </is>
      </c>
      <c r="S282" s="9" t="inlineStr">
        <is>
          <t>Morgan Reyes</t>
        </is>
      </c>
      <c r="T282" s="9" t="inlineStr">
        <is>
          <t>Invoiced</t>
        </is>
      </c>
      <c r="U282" s="10" t="n">
        <v>301</v>
      </c>
      <c r="V282" s="9" t="inlineStr">
        <is>
          <t>Split shipment</t>
        </is>
      </c>
    </row>
    <row r="283">
      <c r="A283" s="7" t="inlineStr">
        <is>
          <t>AP-32075</t>
        </is>
      </c>
      <c r="B283" s="23" t="n">
        <v>46215</v>
      </c>
      <c r="C283" s="7">
        <f>TEXT(B283,"yyyy-mm")</f>
        <v/>
      </c>
      <c r="D283" s="7" t="inlineStr">
        <is>
          <t>NLG-011</t>
        </is>
      </c>
      <c r="E283" s="9" t="inlineStr">
        <is>
          <t>Northlight Group</t>
        </is>
      </c>
      <c r="F283" s="9" t="inlineStr">
        <is>
          <t>Gulf Coast</t>
        </is>
      </c>
      <c r="G283" s="9" t="inlineStr">
        <is>
          <t>Tampa</t>
        </is>
      </c>
      <c r="H283" s="9" t="inlineStr">
        <is>
          <t>Meridian Field Kit</t>
        </is>
      </c>
      <c r="I283" s="10" t="n">
        <v>4</v>
      </c>
      <c r="J283" s="16" t="n">
        <v>1240</v>
      </c>
      <c r="K283" s="18" t="n">
        <v>0.08</v>
      </c>
      <c r="L283" s="16">
        <f>I283*J283</f>
        <v/>
      </c>
      <c r="M283" s="16">
        <f>ROUND(L283*(1-K283),2)</f>
        <v/>
      </c>
      <c r="N283" s="16" t="n">
        <v>806</v>
      </c>
      <c r="O283" s="16">
        <f>I283*N283</f>
        <v/>
      </c>
      <c r="P283" s="18">
        <f>IFERROR((M283-O283)/M283,0)</f>
        <v/>
      </c>
      <c r="Q283" s="16" t="n">
        <v>70.76000000000001</v>
      </c>
      <c r="R283" s="9" t="inlineStr">
        <is>
          <t>Partner</t>
        </is>
      </c>
      <c r="S283" s="9" t="inlineStr">
        <is>
          <t>Avery Kellen</t>
        </is>
      </c>
      <c r="T283" s="9" t="inlineStr">
        <is>
          <t>Open</t>
        </is>
      </c>
      <c r="U283" s="10" t="n">
        <v>302</v>
      </c>
      <c r="V283" s="9" t="inlineStr">
        <is>
          <t>Ship with calibration cert</t>
        </is>
      </c>
    </row>
    <row r="284">
      <c r="A284" s="7" t="inlineStr">
        <is>
          <t>AP-32079</t>
        </is>
      </c>
      <c r="B284" s="23" t="n">
        <v>46277</v>
      </c>
      <c r="C284" s="7">
        <f>TEXT(B284,"yyyy-mm")</f>
        <v/>
      </c>
      <c r="D284" s="7" t="inlineStr">
        <is>
          <t>NLG-014</t>
        </is>
      </c>
      <c r="E284" s="9" t="inlineStr">
        <is>
          <t>Northlight Group</t>
        </is>
      </c>
      <c r="F284" s="9" t="inlineStr">
        <is>
          <t>Gulf Coast</t>
        </is>
      </c>
      <c r="G284" s="9" t="inlineStr">
        <is>
          <t>St. Petersburg</t>
        </is>
      </c>
      <c r="H284" s="9" t="inlineStr">
        <is>
          <t>Calibration service</t>
        </is>
      </c>
      <c r="I284" s="10" t="n">
        <v>6</v>
      </c>
      <c r="J284" s="16" t="n">
        <v>180</v>
      </c>
      <c r="K284" s="18" t="n">
        <v>0.1</v>
      </c>
      <c r="L284" s="16">
        <f>I284*J284</f>
        <v/>
      </c>
      <c r="M284" s="16">
        <f>ROUND(L284*(1-K284),2)</f>
        <v/>
      </c>
      <c r="N284" s="16" t="n">
        <v>99</v>
      </c>
      <c r="O284" s="16">
        <f>I284*N284</f>
        <v/>
      </c>
      <c r="P284" s="18">
        <f>IFERROR((M284-O284)/M284,0)</f>
        <v/>
      </c>
      <c r="Q284" s="16" t="n">
        <v>0</v>
      </c>
      <c r="R284" s="9" t="inlineStr">
        <is>
          <t>Partner</t>
        </is>
      </c>
      <c r="S284" s="9" t="inlineStr">
        <is>
          <t>Morgan Reyes</t>
        </is>
      </c>
      <c r="T284" s="9" t="inlineStr">
        <is>
          <t>Shipped</t>
        </is>
      </c>
      <c r="U284" s="10" t="n">
        <v>303</v>
      </c>
      <c r="V284" s="9" t="inlineStr"/>
    </row>
    <row r="285">
      <c r="A285" s="7" t="inlineStr">
        <is>
          <t>AP-32088</t>
        </is>
      </c>
      <c r="B285" s="23" t="n">
        <v>46208</v>
      </c>
      <c r="C285" s="7">
        <f>TEXT(B285,"yyyy-mm")</f>
        <v/>
      </c>
      <c r="D285" s="7" t="inlineStr">
        <is>
          <t>DIR-000</t>
        </is>
      </c>
      <c r="E285" s="9" t="inlineStr">
        <is>
          <t>Apex Instruments direct</t>
        </is>
      </c>
      <c r="F285" s="9" t="inlineStr">
        <is>
          <t>House</t>
        </is>
      </c>
      <c r="G285" s="9" t="inlineStr">
        <is>
          <t>Tampa</t>
        </is>
      </c>
      <c r="H285" s="9" t="inlineStr">
        <is>
          <t>Atlas Care Plus</t>
        </is>
      </c>
      <c r="I285" s="10" t="n">
        <v>5</v>
      </c>
      <c r="J285" s="16" t="n">
        <v>1788</v>
      </c>
      <c r="K285" s="18" t="n">
        <v>0</v>
      </c>
      <c r="L285" s="16">
        <f>I285*J285</f>
        <v/>
      </c>
      <c r="M285" s="16">
        <f>ROUND(L285*(1-K285),2)</f>
        <v/>
      </c>
      <c r="N285" s="16" t="n">
        <v>447</v>
      </c>
      <c r="O285" s="16">
        <f>I285*N285</f>
        <v/>
      </c>
      <c r="P285" s="18">
        <f>IFERROR((M285-O285)/M285,0)</f>
        <v/>
      </c>
      <c r="Q285" s="16" t="n">
        <v>0</v>
      </c>
      <c r="R285" s="9" t="inlineStr">
        <is>
          <t>Direct</t>
        </is>
      </c>
      <c r="S285" s="9" t="inlineStr">
        <is>
          <t>Jordan Vale</t>
        </is>
      </c>
      <c r="T285" s="9" t="inlineStr">
        <is>
          <t>Open</t>
        </is>
      </c>
      <c r="U285" s="10" t="n">
        <v>304</v>
      </c>
      <c r="V285" s="9" t="inlineStr"/>
    </row>
    <row r="286">
      <c r="A286" s="7" t="inlineStr">
        <is>
          <t>AP-32095</t>
        </is>
      </c>
      <c r="B286" s="23" t="n">
        <v>46226</v>
      </c>
      <c r="C286" s="7">
        <f>TEXT(B286,"yyyy-mm")</f>
        <v/>
      </c>
      <c r="D286" s="7" t="inlineStr">
        <is>
          <t>NLG-014</t>
        </is>
      </c>
      <c r="E286" s="9" t="inlineStr">
        <is>
          <t>Northlight Group</t>
        </is>
      </c>
      <c r="F286" s="9" t="inlineStr">
        <is>
          <t>Gulf Coast</t>
        </is>
      </c>
      <c r="G286" s="9" t="inlineStr">
        <is>
          <t>St. Petersburg</t>
        </is>
      </c>
      <c r="H286" s="9" t="inlineStr">
        <is>
          <t>Calibration service</t>
        </is>
      </c>
      <c r="I286" s="10" t="n">
        <v>4</v>
      </c>
      <c r="J286" s="16" t="n">
        <v>180</v>
      </c>
      <c r="K286" s="18" t="n">
        <v>0</v>
      </c>
      <c r="L286" s="16">
        <f>I286*J286</f>
        <v/>
      </c>
      <c r="M286" s="16">
        <f>ROUND(L286*(1-K286),2)</f>
        <v/>
      </c>
      <c r="N286" s="16" t="n">
        <v>99</v>
      </c>
      <c r="O286" s="16">
        <f>I286*N286</f>
        <v/>
      </c>
      <c r="P286" s="18">
        <f>IFERROR((M286-O286)/M286,0)</f>
        <v/>
      </c>
      <c r="Q286" s="16" t="n">
        <v>0</v>
      </c>
      <c r="R286" s="9" t="inlineStr">
        <is>
          <t>Partner</t>
        </is>
      </c>
      <c r="S286" s="9" t="inlineStr">
        <is>
          <t>Morgan Reyes</t>
        </is>
      </c>
      <c r="T286" s="9" t="inlineStr">
        <is>
          <t>Open</t>
        </is>
      </c>
      <c r="U286" s="10" t="n">
        <v>305</v>
      </c>
      <c r="V286" s="9" t="inlineStr"/>
    </row>
    <row r="287">
      <c r="A287" s="7" t="inlineStr">
        <is>
          <t>AP-32104</t>
        </is>
      </c>
      <c r="B287" s="23" t="n">
        <v>46226</v>
      </c>
      <c r="C287" s="7">
        <f>TEXT(B287,"yyyy-mm")</f>
        <v/>
      </c>
      <c r="D287" s="7" t="inlineStr">
        <is>
          <t>NLG-014</t>
        </is>
      </c>
      <c r="E287" s="9" t="inlineStr">
        <is>
          <t>Northlight Group</t>
        </is>
      </c>
      <c r="F287" s="9" t="inlineStr">
        <is>
          <t>Gulf Coast</t>
        </is>
      </c>
      <c r="G287" s="9" t="inlineStr">
        <is>
          <t>St. Petersburg</t>
        </is>
      </c>
      <c r="H287" s="9" t="inlineStr">
        <is>
          <t>Atlas Care Plus</t>
        </is>
      </c>
      <c r="I287" s="10" t="n">
        <v>9</v>
      </c>
      <c r="J287" s="16" t="n">
        <v>1788</v>
      </c>
      <c r="K287" s="18" t="n">
        <v>0.05</v>
      </c>
      <c r="L287" s="16">
        <f>I287*J287</f>
        <v/>
      </c>
      <c r="M287" s="16">
        <f>ROUND(L287*(1-K287),2)</f>
        <v/>
      </c>
      <c r="N287" s="16" t="n">
        <v>447</v>
      </c>
      <c r="O287" s="16">
        <f>I287*N287</f>
        <v/>
      </c>
      <c r="P287" s="18">
        <f>IFERROR((M287-O287)/M287,0)</f>
        <v/>
      </c>
      <c r="Q287" s="16" t="n">
        <v>0</v>
      </c>
      <c r="R287" s="9" t="inlineStr">
        <is>
          <t>Partner</t>
        </is>
      </c>
      <c r="S287" s="9" t="inlineStr">
        <is>
          <t>Morgan Reyes</t>
        </is>
      </c>
      <c r="T287" s="9" t="inlineStr">
        <is>
          <t>Invoiced</t>
        </is>
      </c>
      <c r="U287" s="10" t="n">
        <v>306</v>
      </c>
      <c r="V287" s="9" t="inlineStr">
        <is>
          <t>Quote 2026-Q3 pricing</t>
        </is>
      </c>
    </row>
    <row r="288">
      <c r="A288" s="7" t="inlineStr">
        <is>
          <t>AP-32111</t>
        </is>
      </c>
      <c r="B288" s="23" t="n">
        <v>46255</v>
      </c>
      <c r="C288" s="7">
        <f>TEXT(B288,"yyyy-mm")</f>
        <v/>
      </c>
      <c r="D288" s="7" t="inlineStr">
        <is>
          <t>NLG-031</t>
        </is>
      </c>
      <c r="E288" s="9" t="inlineStr">
        <is>
          <t>Northlight Group</t>
        </is>
      </c>
      <c r="F288" s="9" t="inlineStr">
        <is>
          <t>Gulf Coast</t>
        </is>
      </c>
      <c r="G288" s="9" t="inlineStr">
        <is>
          <t>Sarasota</t>
        </is>
      </c>
      <c r="H288" s="9" t="inlineStr">
        <is>
          <t>Meridian Field Kit</t>
        </is>
      </c>
      <c r="I288" s="10" t="n">
        <v>2</v>
      </c>
      <c r="J288" s="16" t="n">
        <v>1240</v>
      </c>
      <c r="K288" s="18" t="n">
        <v>0</v>
      </c>
      <c r="L288" s="16">
        <f>I288*J288</f>
        <v/>
      </c>
      <c r="M288" s="16">
        <f>ROUND(L288*(1-K288),2)</f>
        <v/>
      </c>
      <c r="N288" s="16" t="n">
        <v>806</v>
      </c>
      <c r="O288" s="16">
        <f>I288*N288</f>
        <v/>
      </c>
      <c r="P288" s="18">
        <f>IFERROR((M288-O288)/M288,0)</f>
        <v/>
      </c>
      <c r="Q288" s="16" t="n">
        <v>125.25</v>
      </c>
      <c r="R288" s="9" t="inlineStr">
        <is>
          <t>Partner</t>
        </is>
      </c>
      <c r="S288" s="9" t="inlineStr">
        <is>
          <t>Avery Kellen</t>
        </is>
      </c>
      <c r="T288" s="9" t="inlineStr">
        <is>
          <t>Invoiced</t>
        </is>
      </c>
      <c r="U288" s="10" t="n">
        <v>307</v>
      </c>
      <c r="V288" s="9" t="inlineStr">
        <is>
          <t>Ship with calibration cert</t>
        </is>
      </c>
    </row>
    <row r="289">
      <c r="A289" s="7" t="inlineStr">
        <is>
          <t>AP-32115</t>
        </is>
      </c>
      <c r="B289" s="23" t="n">
        <v>46231</v>
      </c>
      <c r="C289" s="7">
        <f>TEXT(B289,"yyyy-mm")</f>
        <v/>
      </c>
      <c r="D289" s="7" t="inlineStr">
        <is>
          <t>NLG-011</t>
        </is>
      </c>
      <c r="E289" s="9" t="inlineStr">
        <is>
          <t>Northlight Group</t>
        </is>
      </c>
      <c r="F289" s="9" t="inlineStr">
        <is>
          <t>Gulf Coast</t>
        </is>
      </c>
      <c r="G289" s="9" t="inlineStr">
        <is>
          <t>Tampa</t>
        </is>
      </c>
      <c r="H289" s="9" t="inlineStr">
        <is>
          <t>Meridian Bench</t>
        </is>
      </c>
      <c r="I289" s="10" t="n">
        <v>3</v>
      </c>
      <c r="J289" s="16" t="n">
        <v>4850</v>
      </c>
      <c r="K289" s="18" t="n">
        <v>0.05</v>
      </c>
      <c r="L289" s="16">
        <f>I289*J289</f>
        <v/>
      </c>
      <c r="M289" s="16">
        <f>ROUND(L289*(1-K289),2)</f>
        <v/>
      </c>
      <c r="N289" s="16" t="n">
        <v>2910</v>
      </c>
      <c r="O289" s="16">
        <f>I289*N289</f>
        <v/>
      </c>
      <c r="P289" s="18">
        <f>IFERROR((M289-O289)/M289,0)</f>
        <v/>
      </c>
      <c r="Q289" s="16" t="n">
        <v>0</v>
      </c>
      <c r="R289" s="9" t="inlineStr">
        <is>
          <t>Partner</t>
        </is>
      </c>
      <c r="S289" s="9" t="inlineStr">
        <is>
          <t>Jordan Vale</t>
        </is>
      </c>
      <c r="T289" s="9" t="inlineStr">
        <is>
          <t>Invoiced</t>
        </is>
      </c>
      <c r="U289" s="10" t="n">
        <v>308</v>
      </c>
      <c r="V289" s="9" t="inlineStr"/>
    </row>
    <row r="290">
      <c r="A290" s="7" t="inlineStr">
        <is>
          <t>AP-32122</t>
        </is>
      </c>
      <c r="B290" s="23" t="n">
        <v>46282</v>
      </c>
      <c r="C290" s="7">
        <f>TEXT(B290,"yyyy-mm")</f>
        <v/>
      </c>
      <c r="D290" s="7" t="inlineStr">
        <is>
          <t>NLG-027</t>
        </is>
      </c>
      <c r="E290" s="9" t="inlineStr">
        <is>
          <t>Northlight Group</t>
        </is>
      </c>
      <c r="F290" s="9" t="inlineStr">
        <is>
          <t>Central Florida</t>
        </is>
      </c>
      <c r="G290" s="9" t="inlineStr">
        <is>
          <t>Lakeland</t>
        </is>
      </c>
      <c r="H290" s="9" t="inlineStr">
        <is>
          <t>Atlas Care Plus</t>
        </is>
      </c>
      <c r="I290" s="10" t="n">
        <v>8</v>
      </c>
      <c r="J290" s="16" t="n">
        <v>1788</v>
      </c>
      <c r="K290" s="18" t="n">
        <v>0</v>
      </c>
      <c r="L290" s="16">
        <f>I290*J290</f>
        <v/>
      </c>
      <c r="M290" s="16">
        <f>ROUND(L290*(1-K290),2)</f>
        <v/>
      </c>
      <c r="N290" s="16" t="n">
        <v>447</v>
      </c>
      <c r="O290" s="16">
        <f>I290*N290</f>
        <v/>
      </c>
      <c r="P290" s="18">
        <f>IFERROR((M290-O290)/M290,0)</f>
        <v/>
      </c>
      <c r="Q290" s="16" t="n">
        <v>0</v>
      </c>
      <c r="R290" s="9" t="inlineStr">
        <is>
          <t>Partner</t>
        </is>
      </c>
      <c r="S290" s="9" t="inlineStr">
        <is>
          <t>Jordan Vale</t>
        </is>
      </c>
      <c r="T290" s="9" t="inlineStr">
        <is>
          <t>Shipped</t>
        </is>
      </c>
      <c r="U290" s="10" t="n">
        <v>309</v>
      </c>
      <c r="V290" s="9" t="inlineStr"/>
    </row>
    <row r="291">
      <c r="A291" s="7" t="inlineStr">
        <is>
          <t>AP-32135</t>
        </is>
      </c>
      <c r="B291" s="23" t="n">
        <v>46220</v>
      </c>
      <c r="C291" s="7">
        <f>TEXT(B291,"yyyy-mm")</f>
        <v/>
      </c>
      <c r="D291" s="7" t="inlineStr">
        <is>
          <t>NLG-014</t>
        </is>
      </c>
      <c r="E291" s="9" t="inlineStr">
        <is>
          <t>Northlight Group</t>
        </is>
      </c>
      <c r="F291" s="9" t="inlineStr">
        <is>
          <t>Gulf Coast</t>
        </is>
      </c>
      <c r="G291" s="9" t="inlineStr">
        <is>
          <t>St. Petersburg</t>
        </is>
      </c>
      <c r="H291" s="9" t="inlineStr">
        <is>
          <t>On-site training</t>
        </is>
      </c>
      <c r="I291" s="10" t="n">
        <v>2</v>
      </c>
      <c r="J291" s="16" t="n">
        <v>650</v>
      </c>
      <c r="K291" s="18" t="n">
        <v>0.1</v>
      </c>
      <c r="L291" s="16">
        <f>I291*J291</f>
        <v/>
      </c>
      <c r="M291" s="16">
        <f>ROUND(L291*(1-K291),2)</f>
        <v/>
      </c>
      <c r="N291" s="16" t="n">
        <v>429</v>
      </c>
      <c r="O291" s="16">
        <f>I291*N291</f>
        <v/>
      </c>
      <c r="P291" s="18">
        <f>IFERROR((M291-O291)/M291,0)</f>
        <v/>
      </c>
      <c r="Q291" s="16" t="n">
        <v>0</v>
      </c>
      <c r="R291" s="9" t="inlineStr">
        <is>
          <t>Partner</t>
        </is>
      </c>
      <c r="S291" s="9" t="inlineStr">
        <is>
          <t>Avery Kellen</t>
        </is>
      </c>
      <c r="T291" s="9" t="inlineStr">
        <is>
          <t>Shipped</t>
        </is>
      </c>
      <c r="U291" s="10" t="n">
        <v>311</v>
      </c>
      <c r="V291" s="9" t="inlineStr">
        <is>
          <t>Renewal</t>
        </is>
      </c>
    </row>
    <row r="292">
      <c r="A292" s="7" t="inlineStr">
        <is>
          <t>AP-32142</t>
        </is>
      </c>
      <c r="B292" s="23" t="n">
        <v>46264</v>
      </c>
      <c r="C292" s="7">
        <f>TEXT(B292,"yyyy-mm")</f>
        <v/>
      </c>
      <c r="D292" s="7" t="inlineStr">
        <is>
          <t>NLG-011</t>
        </is>
      </c>
      <c r="E292" s="9" t="inlineStr">
        <is>
          <t>Northlight Group</t>
        </is>
      </c>
      <c r="F292" s="9" t="inlineStr">
        <is>
          <t>Gulf Coast</t>
        </is>
      </c>
      <c r="G292" s="9" t="inlineStr">
        <is>
          <t>Tampa</t>
        </is>
      </c>
      <c r="H292" s="9" t="inlineStr">
        <is>
          <t>Meridian Bench</t>
        </is>
      </c>
      <c r="I292" s="10" t="n">
        <v>2</v>
      </c>
      <c r="J292" s="16" t="n">
        <v>4850</v>
      </c>
      <c r="K292" s="18" t="n">
        <v>0</v>
      </c>
      <c r="L292" s="16">
        <f>I292*J292</f>
        <v/>
      </c>
      <c r="M292" s="16">
        <f>ROUND(L292*(1-K292),2)</f>
        <v/>
      </c>
      <c r="N292" s="16" t="n">
        <v>2910</v>
      </c>
      <c r="O292" s="16">
        <f>I292*N292</f>
        <v/>
      </c>
      <c r="P292" s="18">
        <f>IFERROR((M292-O292)/M292,0)</f>
        <v/>
      </c>
      <c r="Q292" s="16" t="n">
        <v>163.94</v>
      </c>
      <c r="R292" s="9" t="inlineStr">
        <is>
          <t>Partner</t>
        </is>
      </c>
      <c r="S292" s="9" t="inlineStr">
        <is>
          <t>Jordan Vale</t>
        </is>
      </c>
      <c r="T292" s="9" t="inlineStr">
        <is>
          <t>Shipped</t>
        </is>
      </c>
      <c r="U292" s="10" t="n">
        <v>312</v>
      </c>
      <c r="V292" s="9" t="inlineStr">
        <is>
          <t>Split shipment</t>
        </is>
      </c>
    </row>
    <row r="293">
      <c r="A293" s="7" t="inlineStr">
        <is>
          <t>AP-32151</t>
        </is>
      </c>
      <c r="B293" s="23" t="n">
        <v>46287</v>
      </c>
      <c r="C293" s="7">
        <f>TEXT(B293,"yyyy-mm")</f>
        <v/>
      </c>
      <c r="D293" s="7" t="inlineStr">
        <is>
          <t>NLG-031</t>
        </is>
      </c>
      <c r="E293" s="9" t="inlineStr">
        <is>
          <t>Northlight Group</t>
        </is>
      </c>
      <c r="F293" s="9" t="inlineStr">
        <is>
          <t>Gulf Coast</t>
        </is>
      </c>
      <c r="G293" s="9" t="inlineStr">
        <is>
          <t>Sarasota</t>
        </is>
      </c>
      <c r="H293" s="9" t="inlineStr">
        <is>
          <t>Atlas Care Plus</t>
        </is>
      </c>
      <c r="I293" s="10" t="n">
        <v>7</v>
      </c>
      <c r="J293" s="16" t="n">
        <v>1788</v>
      </c>
      <c r="K293" s="18" t="n">
        <v>0.05</v>
      </c>
      <c r="L293" s="16">
        <f>I293*J293</f>
        <v/>
      </c>
      <c r="M293" s="16">
        <f>ROUND(L293*(1-K293),2)</f>
        <v/>
      </c>
      <c r="N293" s="16" t="n">
        <v>447</v>
      </c>
      <c r="O293" s="16">
        <f>I293*N293</f>
        <v/>
      </c>
      <c r="P293" s="18">
        <f>IFERROR((M293-O293)/M293,0)</f>
        <v/>
      </c>
      <c r="Q293" s="16" t="n">
        <v>0</v>
      </c>
      <c r="R293" s="9" t="inlineStr">
        <is>
          <t>Partner</t>
        </is>
      </c>
      <c r="S293" s="9" t="inlineStr">
        <is>
          <t>Morgan Reyes</t>
        </is>
      </c>
      <c r="T293" s="9" t="inlineStr">
        <is>
          <t>Invoiced</t>
        </is>
      </c>
      <c r="U293" s="10" t="n">
        <v>313</v>
      </c>
      <c r="V293" s="9" t="inlineStr">
        <is>
          <t>Backorder cleared</t>
        </is>
      </c>
    </row>
    <row r="294">
      <c r="A294" s="7" t="inlineStr">
        <is>
          <t>AP-32156</t>
        </is>
      </c>
      <c r="B294" s="23" t="n">
        <v>46226</v>
      </c>
      <c r="C294" s="7">
        <f>TEXT(B294,"yyyy-mm")</f>
        <v/>
      </c>
      <c r="D294" s="7" t="inlineStr">
        <is>
          <t>NLG-022</t>
        </is>
      </c>
      <c r="E294" s="9" t="inlineStr">
        <is>
          <t>Northlight Group</t>
        </is>
      </c>
      <c r="F294" s="9" t="inlineStr">
        <is>
          <t>Central Florida</t>
        </is>
      </c>
      <c r="G294" s="9" t="inlineStr">
        <is>
          <t>Orlando</t>
        </is>
      </c>
      <c r="H294" s="9" t="inlineStr">
        <is>
          <t>Atlas Care Plus</t>
        </is>
      </c>
      <c r="I294" s="10" t="n">
        <v>7</v>
      </c>
      <c r="J294" s="16" t="n">
        <v>1788</v>
      </c>
      <c r="K294" s="18" t="n">
        <v>0.08</v>
      </c>
      <c r="L294" s="16">
        <f>I294*J294</f>
        <v/>
      </c>
      <c r="M294" s="16">
        <f>ROUND(L294*(1-K294),2)</f>
        <v/>
      </c>
      <c r="N294" s="16" t="n">
        <v>447</v>
      </c>
      <c r="O294" s="16">
        <f>I294*N294</f>
        <v/>
      </c>
      <c r="P294" s="18">
        <f>IFERROR((M294-O294)/M294,0)</f>
        <v/>
      </c>
      <c r="Q294" s="16" t="n">
        <v>0</v>
      </c>
      <c r="R294" s="9" t="inlineStr">
        <is>
          <t>Partner</t>
        </is>
      </c>
      <c r="S294" s="9" t="inlineStr">
        <is>
          <t>Sami Torres</t>
        </is>
      </c>
      <c r="T294" s="9" t="inlineStr">
        <is>
          <t>Invoiced</t>
        </is>
      </c>
      <c r="U294" s="10" t="n">
        <v>314</v>
      </c>
      <c r="V294" s="9" t="inlineStr"/>
    </row>
    <row r="295">
      <c r="A295" s="7" t="inlineStr">
        <is>
          <t>AP-32165</t>
        </is>
      </c>
      <c r="B295" s="23" t="n">
        <v>46288</v>
      </c>
      <c r="C295" s="7">
        <f>TEXT(B295,"yyyy-mm")</f>
        <v/>
      </c>
      <c r="D295" s="7" t="inlineStr">
        <is>
          <t>NLG-014</t>
        </is>
      </c>
      <c r="E295" s="9" t="inlineStr">
        <is>
          <t>Northlight Group</t>
        </is>
      </c>
      <c r="F295" s="9" t="inlineStr">
        <is>
          <t>Gulf Coast</t>
        </is>
      </c>
      <c r="G295" s="9" t="inlineStr">
        <is>
          <t>St. Petersburg</t>
        </is>
      </c>
      <c r="H295" s="9" t="inlineStr">
        <is>
          <t>Calibration service</t>
        </is>
      </c>
      <c r="I295" s="10" t="n">
        <v>3</v>
      </c>
      <c r="J295" s="16" t="n">
        <v>180</v>
      </c>
      <c r="K295" s="18" t="n">
        <v>0</v>
      </c>
      <c r="L295" s="16">
        <f>I295*J295</f>
        <v/>
      </c>
      <c r="M295" s="16">
        <f>ROUND(L295*(1-K295),2)</f>
        <v/>
      </c>
      <c r="N295" s="16" t="n">
        <v>99</v>
      </c>
      <c r="O295" s="16">
        <f>I295*N295</f>
        <v/>
      </c>
      <c r="P295" s="18">
        <f>IFERROR((M295-O295)/M295,0)</f>
        <v/>
      </c>
      <c r="Q295" s="16" t="n">
        <v>0</v>
      </c>
      <c r="R295" s="9" t="inlineStr">
        <is>
          <t>Partner</t>
        </is>
      </c>
      <c r="S295" s="9" t="inlineStr">
        <is>
          <t>Jordan Vale</t>
        </is>
      </c>
      <c r="T295" s="9" t="inlineStr">
        <is>
          <t>Shipped</t>
        </is>
      </c>
      <c r="U295" s="10" t="n">
        <v>315</v>
      </c>
      <c r="V295" s="9" t="inlineStr">
        <is>
          <t>Rush requested</t>
        </is>
      </c>
    </row>
    <row r="296">
      <c r="A296" s="7" t="inlineStr">
        <is>
          <t>AP-32171</t>
        </is>
      </c>
      <c r="B296" s="23" t="n">
        <v>46261</v>
      </c>
      <c r="C296" s="7">
        <f>TEXT(B296,"yyyy-mm")</f>
        <v/>
      </c>
      <c r="D296" s="7" t="inlineStr">
        <is>
          <t>NLG-044</t>
        </is>
      </c>
      <c r="E296" s="9" t="inlineStr">
        <is>
          <t>Northlight Group</t>
        </is>
      </c>
      <c r="F296" s="9" t="inlineStr">
        <is>
          <t>Central Florida</t>
        </is>
      </c>
      <c r="G296" s="9" t="inlineStr">
        <is>
          <t>Brandon</t>
        </is>
      </c>
      <c r="H296" s="9" t="inlineStr">
        <is>
          <t>Atlas Care Plus</t>
        </is>
      </c>
      <c r="I296" s="10" t="n">
        <v>11</v>
      </c>
      <c r="J296" s="16" t="n">
        <v>1788</v>
      </c>
      <c r="K296" s="18" t="n">
        <v>0.05</v>
      </c>
      <c r="L296" s="16">
        <f>I296*J296</f>
        <v/>
      </c>
      <c r="M296" s="16">
        <f>ROUND(L296*(1-K296),2)</f>
        <v/>
      </c>
      <c r="N296" s="16" t="n">
        <v>447</v>
      </c>
      <c r="O296" s="16">
        <f>I296*N296</f>
        <v/>
      </c>
      <c r="P296" s="18">
        <f>IFERROR((M296-O296)/M296,0)</f>
        <v/>
      </c>
      <c r="Q296" s="16" t="n">
        <v>0</v>
      </c>
      <c r="R296" s="9" t="inlineStr">
        <is>
          <t>Partner</t>
        </is>
      </c>
      <c r="S296" s="9" t="inlineStr">
        <is>
          <t>Avery Kellen</t>
        </is>
      </c>
      <c r="T296" s="9" t="inlineStr">
        <is>
          <t>Shipped</t>
        </is>
      </c>
      <c r="U296" s="10" t="n">
        <v>316</v>
      </c>
      <c r="V296" s="9" t="inlineStr"/>
    </row>
    <row r="297">
      <c r="A297" s="7" t="inlineStr">
        <is>
          <t>AP-32181</t>
        </is>
      </c>
      <c r="B297" s="23" t="n">
        <v>46287</v>
      </c>
      <c r="C297" s="7">
        <f>TEXT(B297,"yyyy-mm")</f>
        <v/>
      </c>
      <c r="D297" s="7" t="inlineStr">
        <is>
          <t>NLG-027</t>
        </is>
      </c>
      <c r="E297" s="9" t="inlineStr">
        <is>
          <t>Northlight Group</t>
        </is>
      </c>
      <c r="F297" s="9" t="inlineStr">
        <is>
          <t>Central Florida</t>
        </is>
      </c>
      <c r="G297" s="9" t="inlineStr">
        <is>
          <t>Lakeland</t>
        </is>
      </c>
      <c r="H297" s="9" t="inlineStr">
        <is>
          <t>Meridian Pro</t>
        </is>
      </c>
      <c r="I297" s="10" t="n">
        <v>1</v>
      </c>
      <c r="J297" s="16" t="n">
        <v>7900</v>
      </c>
      <c r="K297" s="18" t="n">
        <v>0.08</v>
      </c>
      <c r="L297" s="16">
        <f>I297*J297</f>
        <v/>
      </c>
      <c r="M297" s="16">
        <f>ROUND(L297*(1-K297),2)</f>
        <v/>
      </c>
      <c r="N297" s="16" t="n">
        <v>4345</v>
      </c>
      <c r="O297" s="16">
        <f>I297*N297</f>
        <v/>
      </c>
      <c r="P297" s="18">
        <f>IFERROR((M297-O297)/M297,0)</f>
        <v/>
      </c>
      <c r="Q297" s="16" t="n">
        <v>0</v>
      </c>
      <c r="R297" s="9" t="inlineStr">
        <is>
          <t>Partner</t>
        </is>
      </c>
      <c r="S297" s="9" t="inlineStr">
        <is>
          <t>Sami Torres</t>
        </is>
      </c>
      <c r="T297" s="9" t="inlineStr">
        <is>
          <t>Shipped</t>
        </is>
      </c>
      <c r="U297" s="10" t="n">
        <v>317</v>
      </c>
      <c r="V297" s="9" t="inlineStr"/>
    </row>
    <row r="298">
      <c r="A298" s="7" t="inlineStr">
        <is>
          <t>AP-32185</t>
        </is>
      </c>
      <c r="B298" s="23" t="n">
        <v>46254</v>
      </c>
      <c r="C298" s="7">
        <f>TEXT(B298,"yyyy-mm")</f>
        <v/>
      </c>
      <c r="D298" s="7" t="inlineStr">
        <is>
          <t>NLG-036</t>
        </is>
      </c>
      <c r="E298" s="9" t="inlineStr">
        <is>
          <t>Northlight Group</t>
        </is>
      </c>
      <c r="F298" s="9" t="inlineStr">
        <is>
          <t>Gulf Coast</t>
        </is>
      </c>
      <c r="G298" s="9" t="inlineStr">
        <is>
          <t>Clearwater</t>
        </is>
      </c>
      <c r="H298" s="9" t="inlineStr">
        <is>
          <t>Meridian Field Kit</t>
        </is>
      </c>
      <c r="I298" s="10" t="n">
        <v>3</v>
      </c>
      <c r="J298" s="16" t="n">
        <v>1240</v>
      </c>
      <c r="K298" s="18" t="n">
        <v>0.08</v>
      </c>
      <c r="L298" s="16">
        <f>I298*J298</f>
        <v/>
      </c>
      <c r="M298" s="16">
        <f>ROUND(L298*(1-K298),2)</f>
        <v/>
      </c>
      <c r="N298" s="16" t="n">
        <v>806</v>
      </c>
      <c r="O298" s="16">
        <f>I298*N298</f>
        <v/>
      </c>
      <c r="P298" s="18">
        <f>IFERROR((M298-O298)/M298,0)</f>
        <v/>
      </c>
      <c r="Q298" s="16" t="n">
        <v>147.32</v>
      </c>
      <c r="R298" s="9" t="inlineStr">
        <is>
          <t>Partner</t>
        </is>
      </c>
      <c r="S298" s="9" t="inlineStr">
        <is>
          <t>Avery Kellen</t>
        </is>
      </c>
      <c r="T298" s="9" t="inlineStr">
        <is>
          <t>Shipped</t>
        </is>
      </c>
      <c r="U298" s="10" t="n">
        <v>318</v>
      </c>
      <c r="V298" s="9" t="inlineStr">
        <is>
          <t>Backorder cleared</t>
        </is>
      </c>
    </row>
    <row r="299">
      <c r="A299" s="7" t="inlineStr">
        <is>
          <t>AP-32193</t>
        </is>
      </c>
      <c r="B299" s="23" t="n">
        <v>46247</v>
      </c>
      <c r="C299" s="7">
        <f>TEXT(B299,"yyyy-mm")</f>
        <v/>
      </c>
      <c r="D299" s="7" t="inlineStr">
        <is>
          <t>NLG-014</t>
        </is>
      </c>
      <c r="E299" s="9" t="inlineStr">
        <is>
          <t>Northlight Group</t>
        </is>
      </c>
      <c r="F299" s="9" t="inlineStr">
        <is>
          <t>Gulf Coast</t>
        </is>
      </c>
      <c r="G299" s="9" t="inlineStr">
        <is>
          <t>St. Petersburg</t>
        </is>
      </c>
      <c r="H299" s="9" t="inlineStr">
        <is>
          <t>Meridian Field Kit</t>
        </is>
      </c>
      <c r="I299" s="10" t="n">
        <v>7</v>
      </c>
      <c r="J299" s="16" t="n">
        <v>1240</v>
      </c>
      <c r="K299" s="18" t="n">
        <v>0.08</v>
      </c>
      <c r="L299" s="16">
        <f>I299*J299</f>
        <v/>
      </c>
      <c r="M299" s="16">
        <f>ROUND(L299*(1-K299),2)</f>
        <v/>
      </c>
      <c r="N299" s="16" t="n">
        <v>806</v>
      </c>
      <c r="O299" s="16">
        <f>I299*N299</f>
        <v/>
      </c>
      <c r="P299" s="18">
        <f>IFERROR((M299-O299)/M299,0)</f>
        <v/>
      </c>
      <c r="Q299" s="16" t="n">
        <v>188.35</v>
      </c>
      <c r="R299" s="9" t="inlineStr">
        <is>
          <t>Partner</t>
        </is>
      </c>
      <c r="S299" s="9" t="inlineStr">
        <is>
          <t>Avery Kellen</t>
        </is>
      </c>
      <c r="T299" s="9" t="inlineStr">
        <is>
          <t>Invoiced</t>
        </is>
      </c>
      <c r="U299" s="10" t="n">
        <v>319</v>
      </c>
      <c r="V299" s="9" t="inlineStr">
        <is>
          <t>Replaces damaged unit</t>
        </is>
      </c>
    </row>
    <row r="300">
      <c r="A300" s="7" t="inlineStr">
        <is>
          <t>AP-32198</t>
        </is>
      </c>
      <c r="B300" s="23" t="n">
        <v>46252</v>
      </c>
      <c r="C300" s="7">
        <f>TEXT(B300,"yyyy-mm")</f>
        <v/>
      </c>
      <c r="D300" s="7" t="inlineStr">
        <is>
          <t>NLG-027</t>
        </is>
      </c>
      <c r="E300" s="9" t="inlineStr">
        <is>
          <t>Northlight Group</t>
        </is>
      </c>
      <c r="F300" s="9" t="inlineStr">
        <is>
          <t>Central Florida</t>
        </is>
      </c>
      <c r="G300" s="9" t="inlineStr">
        <is>
          <t>Lakeland</t>
        </is>
      </c>
      <c r="H300" s="9" t="inlineStr">
        <is>
          <t>Meridian Bench</t>
        </is>
      </c>
      <c r="I300" s="10" t="n">
        <v>3</v>
      </c>
      <c r="J300" s="16" t="n">
        <v>4850</v>
      </c>
      <c r="K300" s="18" t="n">
        <v>0.08</v>
      </c>
      <c r="L300" s="16">
        <f>I300*J300</f>
        <v/>
      </c>
      <c r="M300" s="16">
        <f>ROUND(L300*(1-K300),2)</f>
        <v/>
      </c>
      <c r="N300" s="16" t="n">
        <v>2910</v>
      </c>
      <c r="O300" s="16">
        <f>I300*N300</f>
        <v/>
      </c>
      <c r="P300" s="18">
        <f>IFERROR((M300-O300)/M300,0)</f>
        <v/>
      </c>
      <c r="Q300" s="16" t="n">
        <v>160.91</v>
      </c>
      <c r="R300" s="9" t="inlineStr">
        <is>
          <t>Partner</t>
        </is>
      </c>
      <c r="S300" s="9" t="inlineStr">
        <is>
          <t>Sami Torres</t>
        </is>
      </c>
      <c r="T300" s="9" t="inlineStr">
        <is>
          <t>Invoiced</t>
        </is>
      </c>
      <c r="U300" s="10" t="n">
        <v>320</v>
      </c>
      <c r="V300" s="9" t="inlineStr">
        <is>
          <t>Partner pickup</t>
        </is>
      </c>
    </row>
    <row r="301">
      <c r="A301" s="7" t="inlineStr">
        <is>
          <t>AP-32208</t>
        </is>
      </c>
      <c r="B301" s="23" t="n">
        <v>46241</v>
      </c>
      <c r="C301" s="7">
        <f>TEXT(B301,"yyyy-mm")</f>
        <v/>
      </c>
      <c r="D301" s="7" t="inlineStr">
        <is>
          <t>NLG-014</t>
        </is>
      </c>
      <c r="E301" s="9" t="inlineStr">
        <is>
          <t>Northlight Group</t>
        </is>
      </c>
      <c r="F301" s="9" t="inlineStr">
        <is>
          <t>Gulf Coast</t>
        </is>
      </c>
      <c r="G301" s="9" t="inlineStr">
        <is>
          <t>St. Petersburg</t>
        </is>
      </c>
      <c r="H301" s="9" t="inlineStr">
        <is>
          <t>Meridian Field Kit</t>
        </is>
      </c>
      <c r="I301" s="10" t="n">
        <v>2</v>
      </c>
      <c r="J301" s="16" t="n">
        <v>1240</v>
      </c>
      <c r="K301" s="18" t="n">
        <v>0</v>
      </c>
      <c r="L301" s="16">
        <f>I301*J301</f>
        <v/>
      </c>
      <c r="M301" s="16">
        <f>ROUND(L301*(1-K301),2)</f>
        <v/>
      </c>
      <c r="N301" s="16" t="n">
        <v>806</v>
      </c>
      <c r="O301" s="16">
        <f>I301*N301</f>
        <v/>
      </c>
      <c r="P301" s="18">
        <f>IFERROR((M301-O301)/M301,0)</f>
        <v/>
      </c>
      <c r="Q301" s="16" t="n">
        <v>36.96</v>
      </c>
      <c r="R301" s="9" t="inlineStr">
        <is>
          <t>Partner</t>
        </is>
      </c>
      <c r="S301" s="9" t="inlineStr">
        <is>
          <t>Sami Torres</t>
        </is>
      </c>
      <c r="T301" s="9" t="inlineStr">
        <is>
          <t>Invoiced</t>
        </is>
      </c>
      <c r="U301" s="10" t="n">
        <v>321</v>
      </c>
      <c r="V301" s="9" t="inlineStr">
        <is>
          <t>Partner pickup</t>
        </is>
      </c>
    </row>
    <row r="302">
      <c r="A302" s="7" t="inlineStr">
        <is>
          <t>AP-32213</t>
        </is>
      </c>
      <c r="B302" s="23" t="n">
        <v>46268</v>
      </c>
      <c r="C302" s="7">
        <f>TEXT(B302,"yyyy-mm")</f>
        <v/>
      </c>
      <c r="D302" s="7" t="inlineStr">
        <is>
          <t>NLG-022</t>
        </is>
      </c>
      <c r="E302" s="9" t="inlineStr">
        <is>
          <t>Northlight Group</t>
        </is>
      </c>
      <c r="F302" s="9" t="inlineStr">
        <is>
          <t>Central Florida</t>
        </is>
      </c>
      <c r="G302" s="9" t="inlineStr">
        <is>
          <t>Orlando</t>
        </is>
      </c>
      <c r="H302" s="9" t="inlineStr">
        <is>
          <t>Meridian Pro</t>
        </is>
      </c>
      <c r="I302" s="10" t="n">
        <v>1</v>
      </c>
      <c r="J302" s="16" t="n">
        <v>7900</v>
      </c>
      <c r="K302" s="18" t="n">
        <v>0</v>
      </c>
      <c r="L302" s="16">
        <f>I302*J302</f>
        <v/>
      </c>
      <c r="M302" s="16">
        <f>ROUND(L302*(1-K302),2)</f>
        <v/>
      </c>
      <c r="N302" s="16" t="n">
        <v>4345</v>
      </c>
      <c r="O302" s="16">
        <f>I302*N302</f>
        <v/>
      </c>
      <c r="P302" s="18">
        <f>IFERROR((M302-O302)/M302,0)</f>
        <v/>
      </c>
      <c r="Q302" s="16" t="n">
        <v>172.15</v>
      </c>
      <c r="R302" s="9" t="inlineStr">
        <is>
          <t>Partner</t>
        </is>
      </c>
      <c r="S302" s="9" t="inlineStr">
        <is>
          <t>Jordan Vale</t>
        </is>
      </c>
      <c r="T302" s="9" t="inlineStr">
        <is>
          <t>Shipped</t>
        </is>
      </c>
      <c r="U302" s="10" t="n">
        <v>322</v>
      </c>
      <c r="V302" s="9" t="inlineStr"/>
    </row>
    <row r="303">
      <c r="A303" s="7" t="inlineStr">
        <is>
          <t>AP-32222</t>
        </is>
      </c>
      <c r="B303" s="23" t="n">
        <v>46204</v>
      </c>
      <c r="C303" s="7">
        <f>TEXT(B303,"yyyy-mm")</f>
        <v/>
      </c>
      <c r="D303" s="7" t="inlineStr">
        <is>
          <t>NLG-031</t>
        </is>
      </c>
      <c r="E303" s="9" t="inlineStr">
        <is>
          <t>Northlight Group</t>
        </is>
      </c>
      <c r="F303" s="9" t="inlineStr">
        <is>
          <t>Gulf Coast</t>
        </is>
      </c>
      <c r="G303" s="9" t="inlineStr">
        <is>
          <t>Sarasota</t>
        </is>
      </c>
      <c r="H303" s="9" t="inlineStr">
        <is>
          <t>Meridian Field Kit</t>
        </is>
      </c>
      <c r="I303" s="10" t="n">
        <v>2</v>
      </c>
      <c r="J303" s="16" t="n">
        <v>1240</v>
      </c>
      <c r="K303" s="18" t="n">
        <v>0.03</v>
      </c>
      <c r="L303" s="16">
        <f>I303*J303</f>
        <v/>
      </c>
      <c r="M303" s="16">
        <f>ROUND(L303*(1-K303),2)</f>
        <v/>
      </c>
      <c r="N303" s="16" t="n">
        <v>806</v>
      </c>
      <c r="O303" s="16">
        <f>I303*N303</f>
        <v/>
      </c>
      <c r="P303" s="18">
        <f>IFERROR((M303-O303)/M303,0)</f>
        <v/>
      </c>
      <c r="Q303" s="16" t="n">
        <v>124.96</v>
      </c>
      <c r="R303" s="9" t="inlineStr">
        <is>
          <t>Partner</t>
        </is>
      </c>
      <c r="S303" s="9" t="inlineStr">
        <is>
          <t>Sami Torres</t>
        </is>
      </c>
      <c r="T303" s="9" t="inlineStr">
        <is>
          <t>Invoiced</t>
        </is>
      </c>
      <c r="U303" s="10" t="n">
        <v>323</v>
      </c>
      <c r="V303" s="9" t="inlineStr">
        <is>
          <t>Partner pickup</t>
        </is>
      </c>
    </row>
    <row r="304">
      <c r="A304" s="7" t="inlineStr">
        <is>
          <t>AP-32237</t>
        </is>
      </c>
      <c r="B304" s="23" t="n">
        <v>46281</v>
      </c>
      <c r="C304" s="7">
        <f>TEXT(B304,"yyyy-mm")</f>
        <v/>
      </c>
      <c r="D304" s="7" t="inlineStr">
        <is>
          <t>DIR-000</t>
        </is>
      </c>
      <c r="E304" s="9" t="inlineStr">
        <is>
          <t>Apex Instruments direct</t>
        </is>
      </c>
      <c r="F304" s="9" t="inlineStr">
        <is>
          <t>House</t>
        </is>
      </c>
      <c r="G304" s="9" t="inlineStr">
        <is>
          <t>Tampa</t>
        </is>
      </c>
      <c r="H304" s="9" t="inlineStr">
        <is>
          <t>Calibration service</t>
        </is>
      </c>
      <c r="I304" s="10" t="n">
        <v>5</v>
      </c>
      <c r="J304" s="16" t="n">
        <v>180</v>
      </c>
      <c r="K304" s="18" t="n">
        <v>0</v>
      </c>
      <c r="L304" s="16">
        <f>I304*J304</f>
        <v/>
      </c>
      <c r="M304" s="16">
        <f>ROUND(L304*(1-K304),2)</f>
        <v/>
      </c>
      <c r="N304" s="16" t="n">
        <v>99</v>
      </c>
      <c r="O304" s="16">
        <f>I304*N304</f>
        <v/>
      </c>
      <c r="P304" s="18">
        <f>IFERROR((M304-O304)/M304,0)</f>
        <v/>
      </c>
      <c r="Q304" s="16" t="n">
        <v>0</v>
      </c>
      <c r="R304" s="9" t="inlineStr">
        <is>
          <t>Direct</t>
        </is>
      </c>
      <c r="S304" s="9" t="inlineStr">
        <is>
          <t>Jordan Vale</t>
        </is>
      </c>
      <c r="T304" s="9" t="inlineStr">
        <is>
          <t>Shipped</t>
        </is>
      </c>
      <c r="U304" s="10" t="n">
        <v>325</v>
      </c>
      <c r="V304" s="9" t="inlineStr"/>
    </row>
    <row r="305">
      <c r="A305" s="7" t="inlineStr">
        <is>
          <t>AP-32241</t>
        </is>
      </c>
      <c r="B305" s="23" t="n">
        <v>46274</v>
      </c>
      <c r="C305" s="7">
        <f>TEXT(B305,"yyyy-mm")</f>
        <v/>
      </c>
      <c r="D305" s="7" t="inlineStr">
        <is>
          <t>DIR-000</t>
        </is>
      </c>
      <c r="E305" s="9" t="inlineStr">
        <is>
          <t>Apex Instruments direct</t>
        </is>
      </c>
      <c r="F305" s="9" t="inlineStr">
        <is>
          <t>House</t>
        </is>
      </c>
      <c r="G305" s="9" t="inlineStr">
        <is>
          <t>Tampa</t>
        </is>
      </c>
      <c r="H305" s="9" t="inlineStr">
        <is>
          <t>Meridian Field Kit</t>
        </is>
      </c>
      <c r="I305" s="10" t="n">
        <v>2</v>
      </c>
      <c r="J305" s="16" t="n">
        <v>1240</v>
      </c>
      <c r="K305" s="18" t="n">
        <v>0.05</v>
      </c>
      <c r="L305" s="16">
        <f>I305*J305</f>
        <v/>
      </c>
      <c r="M305" s="16">
        <f>ROUND(L305*(1-K305),2)</f>
        <v/>
      </c>
      <c r="N305" s="16" t="n">
        <v>806</v>
      </c>
      <c r="O305" s="16">
        <f>I305*N305</f>
        <v/>
      </c>
      <c r="P305" s="18">
        <f>IFERROR((M305-O305)/M305,0)</f>
        <v/>
      </c>
      <c r="Q305" s="16" t="n">
        <v>77.31999999999999</v>
      </c>
      <c r="R305" s="9" t="inlineStr">
        <is>
          <t>Direct</t>
        </is>
      </c>
      <c r="S305" s="9" t="inlineStr">
        <is>
          <t>Sami Torres</t>
        </is>
      </c>
      <c r="T305" s="9" t="inlineStr">
        <is>
          <t>Invoiced</t>
        </is>
      </c>
      <c r="U305" s="10" t="n">
        <v>326</v>
      </c>
      <c r="V305" s="9" t="inlineStr">
        <is>
          <t>Rush requested</t>
        </is>
      </c>
    </row>
    <row r="306">
      <c r="A306" s="7" t="inlineStr">
        <is>
          <t>AP-32251</t>
        </is>
      </c>
      <c r="B306" s="23" t="n">
        <v>46219</v>
      </c>
      <c r="C306" s="7">
        <f>TEXT(B306,"yyyy-mm")</f>
        <v/>
      </c>
      <c r="D306" s="7" t="inlineStr">
        <is>
          <t>NLG-027</t>
        </is>
      </c>
      <c r="E306" s="9" t="inlineStr">
        <is>
          <t>Northlight Group</t>
        </is>
      </c>
      <c r="F306" s="9" t="inlineStr">
        <is>
          <t>Central Florida</t>
        </is>
      </c>
      <c r="G306" s="9" t="inlineStr">
        <is>
          <t>Lakeland</t>
        </is>
      </c>
      <c r="H306" s="9" t="inlineStr">
        <is>
          <t>Atlas Care Plus</t>
        </is>
      </c>
      <c r="I306" s="10" t="n">
        <v>11</v>
      </c>
      <c r="J306" s="16" t="n">
        <v>1788</v>
      </c>
      <c r="K306" s="18" t="n">
        <v>0</v>
      </c>
      <c r="L306" s="16">
        <f>I306*J306</f>
        <v/>
      </c>
      <c r="M306" s="16">
        <f>ROUND(L306*(1-K306),2)</f>
        <v/>
      </c>
      <c r="N306" s="16" t="n">
        <v>447</v>
      </c>
      <c r="O306" s="16">
        <f>I306*N306</f>
        <v/>
      </c>
      <c r="P306" s="18">
        <f>IFERROR((M306-O306)/M306,0)</f>
        <v/>
      </c>
      <c r="Q306" s="16" t="n">
        <v>0</v>
      </c>
      <c r="R306" s="9" t="inlineStr">
        <is>
          <t>Partner</t>
        </is>
      </c>
      <c r="S306" s="9" t="inlineStr">
        <is>
          <t>Jordan Vale</t>
        </is>
      </c>
      <c r="T306" s="9" t="inlineStr">
        <is>
          <t>Invoiced</t>
        </is>
      </c>
      <c r="U306" s="10" t="n">
        <v>327</v>
      </c>
      <c r="V306" s="9" t="inlineStr"/>
    </row>
    <row r="307">
      <c r="A307" s="7" t="inlineStr">
        <is>
          <t>AP-32257</t>
        </is>
      </c>
      <c r="B307" s="23" t="n">
        <v>46254</v>
      </c>
      <c r="C307" s="7">
        <f>TEXT(B307,"yyyy-mm")</f>
        <v/>
      </c>
      <c r="D307" s="7" t="inlineStr">
        <is>
          <t>DIR-000</t>
        </is>
      </c>
      <c r="E307" s="9" t="inlineStr">
        <is>
          <t>Apex Instruments direct</t>
        </is>
      </c>
      <c r="F307" s="9" t="inlineStr">
        <is>
          <t>House</t>
        </is>
      </c>
      <c r="G307" s="9" t="inlineStr">
        <is>
          <t>Tampa</t>
        </is>
      </c>
      <c r="H307" s="9" t="inlineStr">
        <is>
          <t>Calibration service</t>
        </is>
      </c>
      <c r="I307" s="10" t="n">
        <v>3</v>
      </c>
      <c r="J307" s="16" t="n">
        <v>180</v>
      </c>
      <c r="K307" s="18" t="n">
        <v>0.15</v>
      </c>
      <c r="L307" s="16">
        <f>I307*J307</f>
        <v/>
      </c>
      <c r="M307" s="16">
        <f>ROUND(L307*(1-K307),2)</f>
        <v/>
      </c>
      <c r="N307" s="16" t="n">
        <v>99</v>
      </c>
      <c r="O307" s="16">
        <f>I307*N307</f>
        <v/>
      </c>
      <c r="P307" s="18">
        <f>IFERROR((M307-O307)/M307,0)</f>
        <v/>
      </c>
      <c r="Q307" s="16" t="n">
        <v>0</v>
      </c>
      <c r="R307" s="9" t="inlineStr">
        <is>
          <t>Direct</t>
        </is>
      </c>
      <c r="S307" s="9" t="inlineStr">
        <is>
          <t>Sami Torres</t>
        </is>
      </c>
      <c r="T307" s="9" t="inlineStr">
        <is>
          <t>Open</t>
        </is>
      </c>
      <c r="U307" s="10" t="n">
        <v>328</v>
      </c>
      <c r="V307" s="9" t="inlineStr">
        <is>
          <t>Split shipment</t>
        </is>
      </c>
    </row>
    <row r="308">
      <c r="A308" s="7" t="inlineStr">
        <is>
          <t>AP-32264</t>
        </is>
      </c>
      <c r="B308" s="23" t="n">
        <v>46226</v>
      </c>
      <c r="C308" s="7">
        <f>TEXT(B308,"yyyy-mm")</f>
        <v/>
      </c>
      <c r="D308" s="7" t="inlineStr">
        <is>
          <t>NLG-014</t>
        </is>
      </c>
      <c r="E308" s="9" t="inlineStr">
        <is>
          <t>Northlight Group</t>
        </is>
      </c>
      <c r="F308" s="9" t="inlineStr">
        <is>
          <t>Gulf Coast</t>
        </is>
      </c>
      <c r="G308" s="9" t="inlineStr">
        <is>
          <t>St. Petersburg</t>
        </is>
      </c>
      <c r="H308" s="9" t="inlineStr">
        <is>
          <t>Calibration service</t>
        </is>
      </c>
      <c r="I308" s="10" t="n">
        <v>3</v>
      </c>
      <c r="J308" s="16" t="n">
        <v>180</v>
      </c>
      <c r="K308" s="18" t="n">
        <v>0</v>
      </c>
      <c r="L308" s="16">
        <f>I308*J308</f>
        <v/>
      </c>
      <c r="M308" s="16">
        <f>ROUND(L308*(1-K308),2)</f>
        <v/>
      </c>
      <c r="N308" s="16" t="n">
        <v>99</v>
      </c>
      <c r="O308" s="16">
        <f>I308*N308</f>
        <v/>
      </c>
      <c r="P308" s="18">
        <f>IFERROR((M308-O308)/M308,0)</f>
        <v/>
      </c>
      <c r="Q308" s="16" t="n">
        <v>0</v>
      </c>
      <c r="R308" s="9" t="inlineStr">
        <is>
          <t>Partner</t>
        </is>
      </c>
      <c r="S308" s="9" t="inlineStr">
        <is>
          <t>Avery Kellen</t>
        </is>
      </c>
      <c r="T308" s="9" t="inlineStr">
        <is>
          <t>Invoiced</t>
        </is>
      </c>
      <c r="U308" s="10" t="n">
        <v>329</v>
      </c>
      <c r="V308" s="9" t="inlineStr"/>
    </row>
    <row r="309">
      <c r="A309" s="7" t="inlineStr">
        <is>
          <t>AP-32270</t>
        </is>
      </c>
      <c r="B309" s="23" t="n">
        <v>46227</v>
      </c>
      <c r="C309" s="7">
        <f>TEXT(B309,"yyyy-mm")</f>
        <v/>
      </c>
      <c r="D309" s="7" t="inlineStr">
        <is>
          <t>NLG-014</t>
        </is>
      </c>
      <c r="E309" s="9" t="inlineStr">
        <is>
          <t>Northlight Group</t>
        </is>
      </c>
      <c r="F309" s="9" t="inlineStr">
        <is>
          <t>Gulf Coast</t>
        </is>
      </c>
      <c r="G309" s="9" t="inlineStr">
        <is>
          <t>St. Petersburg</t>
        </is>
      </c>
      <c r="H309" s="9" t="inlineStr">
        <is>
          <t>Meridian Field Kit</t>
        </is>
      </c>
      <c r="I309" s="10" t="n">
        <v>4</v>
      </c>
      <c r="J309" s="16" t="n">
        <v>1240</v>
      </c>
      <c r="K309" s="18" t="n">
        <v>0.05</v>
      </c>
      <c r="L309" s="16">
        <f>I309*J309</f>
        <v/>
      </c>
      <c r="M309" s="16">
        <f>ROUND(L309*(1-K309),2)</f>
        <v/>
      </c>
      <c r="N309" s="16" t="n">
        <v>806</v>
      </c>
      <c r="O309" s="16">
        <f>I309*N309</f>
        <v/>
      </c>
      <c r="P309" s="18">
        <f>IFERROR((M309-O309)/M309,0)</f>
        <v/>
      </c>
      <c r="Q309" s="16" t="n">
        <v>48.78</v>
      </c>
      <c r="R309" s="9" t="inlineStr">
        <is>
          <t>Partner</t>
        </is>
      </c>
      <c r="S309" s="9" t="inlineStr">
        <is>
          <t>Sami Torres</t>
        </is>
      </c>
      <c r="T309" s="9" t="inlineStr">
        <is>
          <t>Shipped</t>
        </is>
      </c>
      <c r="U309" s="10" t="n">
        <v>330</v>
      </c>
      <c r="V309" s="9" t="inlineStr">
        <is>
          <t>Partner pickup</t>
        </is>
      </c>
    </row>
    <row r="310">
      <c r="A310" s="7" t="inlineStr">
        <is>
          <t>AP-32277</t>
        </is>
      </c>
      <c r="B310" s="23" t="n">
        <v>46255</v>
      </c>
      <c r="C310" s="7">
        <f>TEXT(B310,"yyyy-mm")</f>
        <v/>
      </c>
      <c r="D310" s="7" t="inlineStr">
        <is>
          <t>NLG-027</t>
        </is>
      </c>
      <c r="E310" s="9" t="inlineStr">
        <is>
          <t>Northlight Group</t>
        </is>
      </c>
      <c r="F310" s="9" t="inlineStr">
        <is>
          <t>Central Florida</t>
        </is>
      </c>
      <c r="G310" s="9" t="inlineStr">
        <is>
          <t>Lakeland</t>
        </is>
      </c>
      <c r="H310" s="9" t="inlineStr">
        <is>
          <t>Atlas Care Plus</t>
        </is>
      </c>
      <c r="I310" s="10" t="n">
        <v>3</v>
      </c>
      <c r="J310" s="16" t="n">
        <v>1788</v>
      </c>
      <c r="K310" s="18" t="n">
        <v>0.05</v>
      </c>
      <c r="L310" s="16">
        <f>I310*J310</f>
        <v/>
      </c>
      <c r="M310" s="16">
        <f>ROUND(L310*(1-K310),2)</f>
        <v/>
      </c>
      <c r="N310" s="16" t="n">
        <v>447</v>
      </c>
      <c r="O310" s="16">
        <f>I310*N310</f>
        <v/>
      </c>
      <c r="P310" s="18">
        <f>IFERROR((M310-O310)/M310,0)</f>
        <v/>
      </c>
      <c r="Q310" s="16" t="n">
        <v>0</v>
      </c>
      <c r="R310" s="9" t="inlineStr">
        <is>
          <t>Partner</t>
        </is>
      </c>
      <c r="S310" s="9" t="inlineStr">
        <is>
          <t>Morgan Reyes</t>
        </is>
      </c>
      <c r="T310" s="9" t="inlineStr">
        <is>
          <t>Invoiced</t>
        </is>
      </c>
      <c r="U310" s="10" t="n">
        <v>331</v>
      </c>
      <c r="V310" s="9" t="inlineStr">
        <is>
          <t>Ship with calibration cert</t>
        </is>
      </c>
    </row>
    <row r="311">
      <c r="A311" s="7" t="inlineStr">
        <is>
          <t>AP-32282</t>
        </is>
      </c>
      <c r="B311" s="23" t="n">
        <v>46205</v>
      </c>
      <c r="C311" s="7">
        <f>TEXT(B311,"yyyy-mm")</f>
        <v/>
      </c>
      <c r="D311" s="7" t="inlineStr">
        <is>
          <t>NLG-014</t>
        </is>
      </c>
      <c r="E311" s="9" t="inlineStr">
        <is>
          <t>Northlight Group</t>
        </is>
      </c>
      <c r="F311" s="9" t="inlineStr">
        <is>
          <t>Gulf Coast</t>
        </is>
      </c>
      <c r="G311" s="9" t="inlineStr">
        <is>
          <t>St. Petersburg</t>
        </is>
      </c>
      <c r="H311" s="9" t="inlineStr">
        <is>
          <t>Meridian Bench</t>
        </is>
      </c>
      <c r="I311" s="10" t="n">
        <v>2</v>
      </c>
      <c r="J311" s="16" t="n">
        <v>4850</v>
      </c>
      <c r="K311" s="18" t="n">
        <v>0.05</v>
      </c>
      <c r="L311" s="16">
        <f>I311*J311</f>
        <v/>
      </c>
      <c r="M311" s="16">
        <f>ROUND(L311*(1-K311),2)</f>
        <v/>
      </c>
      <c r="N311" s="16" t="n">
        <v>2910</v>
      </c>
      <c r="O311" s="16">
        <f>I311*N311</f>
        <v/>
      </c>
      <c r="P311" s="18">
        <f>IFERROR((M311-O311)/M311,0)</f>
        <v/>
      </c>
      <c r="Q311" s="16" t="n">
        <v>29.86</v>
      </c>
      <c r="R311" s="9" t="inlineStr">
        <is>
          <t>Partner</t>
        </is>
      </c>
      <c r="S311" s="9" t="inlineStr">
        <is>
          <t>Jordan Vale</t>
        </is>
      </c>
      <c r="T311" s="9" t="inlineStr">
        <is>
          <t>Open</t>
        </is>
      </c>
      <c r="U311" s="10" t="n">
        <v>332</v>
      </c>
      <c r="V311" s="9" t="inlineStr">
        <is>
          <t>Split shipment</t>
        </is>
      </c>
    </row>
    <row r="312">
      <c r="A312" s="7" t="inlineStr">
        <is>
          <t>AP-32291</t>
        </is>
      </c>
      <c r="B312" s="23" t="n">
        <v>46291</v>
      </c>
      <c r="C312" s="7">
        <f>TEXT(B312,"yyyy-mm")</f>
        <v/>
      </c>
      <c r="D312" s="7" t="inlineStr">
        <is>
          <t>NLG-036</t>
        </is>
      </c>
      <c r="E312" s="9" t="inlineStr">
        <is>
          <t>Northlight Group</t>
        </is>
      </c>
      <c r="F312" s="9" t="inlineStr">
        <is>
          <t>Gulf Coast</t>
        </is>
      </c>
      <c r="G312" s="9" t="inlineStr">
        <is>
          <t>Clearwater</t>
        </is>
      </c>
      <c r="H312" s="9" t="inlineStr">
        <is>
          <t>On-site training</t>
        </is>
      </c>
      <c r="I312" s="10" t="n">
        <v>3</v>
      </c>
      <c r="J312" s="16" t="n">
        <v>650</v>
      </c>
      <c r="K312" s="18" t="n">
        <v>0</v>
      </c>
      <c r="L312" s="16">
        <f>I312*J312</f>
        <v/>
      </c>
      <c r="M312" s="16">
        <f>ROUND(L312*(1-K312),2)</f>
        <v/>
      </c>
      <c r="N312" s="16" t="n">
        <v>429</v>
      </c>
      <c r="O312" s="16">
        <f>I312*N312</f>
        <v/>
      </c>
      <c r="P312" s="18">
        <f>IFERROR((M312-O312)/M312,0)</f>
        <v/>
      </c>
      <c r="Q312" s="16" t="n">
        <v>0</v>
      </c>
      <c r="R312" s="9" t="inlineStr">
        <is>
          <t>Partner</t>
        </is>
      </c>
      <c r="S312" s="9" t="inlineStr">
        <is>
          <t>Avery Kellen</t>
        </is>
      </c>
      <c r="T312" s="9" t="inlineStr">
        <is>
          <t>Invoiced</t>
        </is>
      </c>
      <c r="U312" s="10" t="n">
        <v>333</v>
      </c>
      <c r="V312" s="9" t="inlineStr">
        <is>
          <t>PO on file</t>
        </is>
      </c>
    </row>
    <row r="313">
      <c r="A313" s="7" t="inlineStr">
        <is>
          <t>AP-32299</t>
        </is>
      </c>
      <c r="B313" s="23" t="n">
        <v>46270</v>
      </c>
      <c r="C313" s="7">
        <f>TEXT(B313,"yyyy-mm")</f>
        <v/>
      </c>
      <c r="D313" s="7" t="inlineStr">
        <is>
          <t>NLG-031</t>
        </is>
      </c>
      <c r="E313" s="9" t="inlineStr">
        <is>
          <t>Northlight Group</t>
        </is>
      </c>
      <c r="F313" s="9" t="inlineStr">
        <is>
          <t>Gulf Coast</t>
        </is>
      </c>
      <c r="G313" s="9" t="inlineStr">
        <is>
          <t>Sarasota</t>
        </is>
      </c>
      <c r="H313" s="9" t="inlineStr">
        <is>
          <t>Meridian Field Kit</t>
        </is>
      </c>
      <c r="I313" s="10" t="n">
        <v>3</v>
      </c>
      <c r="J313" s="16" t="n">
        <v>1240</v>
      </c>
      <c r="K313" s="18" t="n">
        <v>0</v>
      </c>
      <c r="L313" s="16">
        <f>I313*J313</f>
        <v/>
      </c>
      <c r="M313" s="16">
        <f>ROUND(L313*(1-K313),2)</f>
        <v/>
      </c>
      <c r="N313" s="16" t="n">
        <v>806</v>
      </c>
      <c r="O313" s="16">
        <f>I313*N313</f>
        <v/>
      </c>
      <c r="P313" s="18">
        <f>IFERROR((M313-O313)/M313,0)</f>
        <v/>
      </c>
      <c r="Q313" s="16" t="n">
        <v>55.83</v>
      </c>
      <c r="R313" s="9" t="inlineStr">
        <is>
          <t>Partner</t>
        </is>
      </c>
      <c r="S313" s="9" t="inlineStr">
        <is>
          <t>Avery Kellen</t>
        </is>
      </c>
      <c r="T313" s="9" t="inlineStr">
        <is>
          <t>Invoiced</t>
        </is>
      </c>
      <c r="U313" s="10" t="n">
        <v>334</v>
      </c>
      <c r="V313" s="9" t="inlineStr">
        <is>
          <t>Backorder cleared</t>
        </is>
      </c>
    </row>
    <row r="314">
      <c r="A314" s="7" t="inlineStr">
        <is>
          <t>AP-32306</t>
        </is>
      </c>
      <c r="B314" s="23" t="n">
        <v>46231</v>
      </c>
      <c r="C314" s="7">
        <f>TEXT(B314,"yyyy-mm")</f>
        <v/>
      </c>
      <c r="D314" s="7" t="inlineStr">
        <is>
          <t>NLG-031</t>
        </is>
      </c>
      <c r="E314" s="9" t="inlineStr">
        <is>
          <t>Northlight Group</t>
        </is>
      </c>
      <c r="F314" s="9" t="inlineStr">
        <is>
          <t>Gulf Coast</t>
        </is>
      </c>
      <c r="G314" s="9" t="inlineStr">
        <is>
          <t>Sarasota</t>
        </is>
      </c>
      <c r="H314" s="9" t="inlineStr">
        <is>
          <t>Meridian Pro</t>
        </is>
      </c>
      <c r="I314" s="10" t="n">
        <v>1</v>
      </c>
      <c r="J314" s="16" t="n">
        <v>7900</v>
      </c>
      <c r="K314" s="18" t="n">
        <v>0</v>
      </c>
      <c r="L314" s="16">
        <f>I314*J314</f>
        <v/>
      </c>
      <c r="M314" s="16">
        <f>ROUND(L314*(1-K314),2)</f>
        <v/>
      </c>
      <c r="N314" s="16" t="n">
        <v>4345</v>
      </c>
      <c r="O314" s="16">
        <f>I314*N314</f>
        <v/>
      </c>
      <c r="P314" s="18">
        <f>IFERROR((M314-O314)/M314,0)</f>
        <v/>
      </c>
      <c r="Q314" s="16" t="n">
        <v>62.07</v>
      </c>
      <c r="R314" s="9" t="inlineStr">
        <is>
          <t>Partner</t>
        </is>
      </c>
      <c r="S314" s="9" t="inlineStr">
        <is>
          <t>Avery Kellen</t>
        </is>
      </c>
      <c r="T314" s="9" t="inlineStr">
        <is>
          <t>Shipped</t>
        </is>
      </c>
      <c r="U314" s="10" t="n">
        <v>335</v>
      </c>
      <c r="V314" s="9" t="inlineStr">
        <is>
          <t>Rush requested</t>
        </is>
      </c>
    </row>
    <row r="315">
      <c r="A315" s="7" t="inlineStr">
        <is>
          <t>AP-32313</t>
        </is>
      </c>
      <c r="B315" s="23" t="n">
        <v>46231</v>
      </c>
      <c r="C315" s="7">
        <f>TEXT(B315,"yyyy-mm")</f>
        <v/>
      </c>
      <c r="D315" s="7" t="inlineStr">
        <is>
          <t>NLG-036</t>
        </is>
      </c>
      <c r="E315" s="9" t="inlineStr">
        <is>
          <t>Northlight Group</t>
        </is>
      </c>
      <c r="F315" s="9" t="inlineStr">
        <is>
          <t>Gulf Coast</t>
        </is>
      </c>
      <c r="G315" s="9" t="inlineStr">
        <is>
          <t>Clearwater</t>
        </is>
      </c>
      <c r="H315" s="9" t="inlineStr">
        <is>
          <t>Meridian Field Kit</t>
        </is>
      </c>
      <c r="I315" s="10" t="n">
        <v>4</v>
      </c>
      <c r="J315" s="16" t="n">
        <v>1240</v>
      </c>
      <c r="K315" s="18" t="n">
        <v>0.08</v>
      </c>
      <c r="L315" s="16">
        <f>I315*J315</f>
        <v/>
      </c>
      <c r="M315" s="16">
        <f>ROUND(L315*(1-K315),2)</f>
        <v/>
      </c>
      <c r="N315" s="16" t="n">
        <v>806</v>
      </c>
      <c r="O315" s="16">
        <f>I315*N315</f>
        <v/>
      </c>
      <c r="P315" s="18">
        <f>IFERROR((M315-O315)/M315,0)</f>
        <v/>
      </c>
      <c r="Q315" s="16" t="n">
        <v>121.32</v>
      </c>
      <c r="R315" s="9" t="inlineStr">
        <is>
          <t>Partner</t>
        </is>
      </c>
      <c r="S315" s="9" t="inlineStr">
        <is>
          <t>Avery Kellen</t>
        </is>
      </c>
      <c r="T315" s="9" t="inlineStr">
        <is>
          <t>Open</t>
        </is>
      </c>
      <c r="U315" s="10" t="n">
        <v>336</v>
      </c>
      <c r="V315" s="9" t="inlineStr">
        <is>
          <t>PO on file</t>
        </is>
      </c>
    </row>
    <row r="316">
      <c r="A316" s="7" t="inlineStr">
        <is>
          <t>AP-32317</t>
        </is>
      </c>
      <c r="B316" s="23" t="n">
        <v>46285</v>
      </c>
      <c r="C316" s="7">
        <f>TEXT(B316,"yyyy-mm")</f>
        <v/>
      </c>
      <c r="D316" s="7" t="inlineStr">
        <is>
          <t>NLG-022</t>
        </is>
      </c>
      <c r="E316" s="9" t="inlineStr">
        <is>
          <t>Northlight Group</t>
        </is>
      </c>
      <c r="F316" s="9" t="inlineStr">
        <is>
          <t>Central Florida</t>
        </is>
      </c>
      <c r="G316" s="9" t="inlineStr">
        <is>
          <t>Orlando</t>
        </is>
      </c>
      <c r="H316" s="9" t="inlineStr">
        <is>
          <t>Meridian Field Kit</t>
        </is>
      </c>
      <c r="I316" s="10" t="n">
        <v>4</v>
      </c>
      <c r="J316" s="16" t="n">
        <v>1240</v>
      </c>
      <c r="K316" s="18" t="n">
        <v>0</v>
      </c>
      <c r="L316" s="16">
        <f>I316*J316</f>
        <v/>
      </c>
      <c r="M316" s="16">
        <f>ROUND(L316*(1-K316),2)</f>
        <v/>
      </c>
      <c r="N316" s="16" t="n">
        <v>806</v>
      </c>
      <c r="O316" s="16">
        <f>I316*N316</f>
        <v/>
      </c>
      <c r="P316" s="18">
        <f>IFERROR((M316-O316)/M316,0)</f>
        <v/>
      </c>
      <c r="Q316" s="16" t="n">
        <v>90.45999999999999</v>
      </c>
      <c r="R316" s="9" t="inlineStr">
        <is>
          <t>Partner</t>
        </is>
      </c>
      <c r="S316" s="9" t="inlineStr">
        <is>
          <t>Sami Torres</t>
        </is>
      </c>
      <c r="T316" s="9" t="inlineStr">
        <is>
          <t>Open</t>
        </is>
      </c>
      <c r="U316" s="10" t="n">
        <v>337</v>
      </c>
      <c r="V316" s="9" t="inlineStr">
        <is>
          <t>Quote 2026-Q3 pricing</t>
        </is>
      </c>
    </row>
    <row r="317">
      <c r="A317" s="7" t="inlineStr">
        <is>
          <t>AP-32328</t>
        </is>
      </c>
      <c r="B317" s="23" t="n">
        <v>46210</v>
      </c>
      <c r="C317" s="7">
        <f>TEXT(B317,"yyyy-mm")</f>
        <v/>
      </c>
      <c r="D317" s="7" t="inlineStr">
        <is>
          <t>NLG-022</t>
        </is>
      </c>
      <c r="E317" s="9" t="inlineStr">
        <is>
          <t>Northlight Group</t>
        </is>
      </c>
      <c r="F317" s="9" t="inlineStr">
        <is>
          <t>Central Florida</t>
        </is>
      </c>
      <c r="G317" s="9" t="inlineStr">
        <is>
          <t>Orlando</t>
        </is>
      </c>
      <c r="H317" s="9" t="inlineStr">
        <is>
          <t>Meridian Pro</t>
        </is>
      </c>
      <c r="I317" s="10" t="n">
        <v>2</v>
      </c>
      <c r="J317" s="16" t="n">
        <v>7900</v>
      </c>
      <c r="K317" s="18" t="n">
        <v>0.05</v>
      </c>
      <c r="L317" s="16">
        <f>I317*J317</f>
        <v/>
      </c>
      <c r="M317" s="16">
        <f>ROUND(L317*(1-K317),2)</f>
        <v/>
      </c>
      <c r="N317" s="16" t="n">
        <v>4345</v>
      </c>
      <c r="O317" s="16">
        <f>I317*N317</f>
        <v/>
      </c>
      <c r="P317" s="18">
        <f>IFERROR((M317-O317)/M317,0)</f>
        <v/>
      </c>
      <c r="Q317" s="16" t="n">
        <v>127.18</v>
      </c>
      <c r="R317" s="9" t="inlineStr">
        <is>
          <t>Partner</t>
        </is>
      </c>
      <c r="S317" s="9" t="inlineStr">
        <is>
          <t>Jordan Vale</t>
        </is>
      </c>
      <c r="T317" s="9" t="inlineStr">
        <is>
          <t>Invoiced</t>
        </is>
      </c>
      <c r="U317" s="10" t="n">
        <v>338</v>
      </c>
      <c r="V317" s="9" t="inlineStr">
        <is>
          <t>Backorder cleared</t>
        </is>
      </c>
    </row>
    <row r="318">
      <c r="A318" s="7" t="inlineStr">
        <is>
          <t>AP-32332</t>
        </is>
      </c>
      <c r="B318" s="23" t="n">
        <v>46283</v>
      </c>
      <c r="C318" s="7">
        <f>TEXT(B318,"yyyy-mm")</f>
        <v/>
      </c>
      <c r="D318" s="7" t="inlineStr">
        <is>
          <t>NLG-031</t>
        </is>
      </c>
      <c r="E318" s="9" t="inlineStr">
        <is>
          <t>Northlight Group</t>
        </is>
      </c>
      <c r="F318" s="9" t="inlineStr">
        <is>
          <t>Gulf Coast</t>
        </is>
      </c>
      <c r="G318" s="9" t="inlineStr">
        <is>
          <t>Sarasota</t>
        </is>
      </c>
      <c r="H318" s="9" t="inlineStr">
        <is>
          <t>On-site training</t>
        </is>
      </c>
      <c r="I318" s="10" t="n">
        <v>2</v>
      </c>
      <c r="J318" s="16" t="n">
        <v>650</v>
      </c>
      <c r="K318" s="18" t="n">
        <v>0</v>
      </c>
      <c r="L318" s="16">
        <f>I318*J318</f>
        <v/>
      </c>
      <c r="M318" s="16">
        <f>ROUND(L318*(1-K318),2)</f>
        <v/>
      </c>
      <c r="N318" s="16" t="n">
        <v>429</v>
      </c>
      <c r="O318" s="16">
        <f>I318*N318</f>
        <v/>
      </c>
      <c r="P318" s="18">
        <f>IFERROR((M318-O318)/M318,0)</f>
        <v/>
      </c>
      <c r="Q318" s="16" t="n">
        <v>0</v>
      </c>
      <c r="R318" s="9" t="inlineStr">
        <is>
          <t>Partner</t>
        </is>
      </c>
      <c r="S318" s="9" t="inlineStr">
        <is>
          <t>Morgan Reyes</t>
        </is>
      </c>
      <c r="T318" s="9" t="inlineStr">
        <is>
          <t>Open</t>
        </is>
      </c>
      <c r="U318" s="10" t="n">
        <v>339</v>
      </c>
      <c r="V318" s="9" t="inlineStr"/>
    </row>
    <row r="319">
      <c r="A319" s="7" t="inlineStr">
        <is>
          <t>AP-32342</t>
        </is>
      </c>
      <c r="B319" s="23" t="n">
        <v>46223</v>
      </c>
      <c r="C319" s="7">
        <f>TEXT(B319,"yyyy-mm")</f>
        <v/>
      </c>
      <c r="D319" s="7" t="inlineStr">
        <is>
          <t>NLG-031</t>
        </is>
      </c>
      <c r="E319" s="9" t="inlineStr">
        <is>
          <t>Northlight Group</t>
        </is>
      </c>
      <c r="F319" s="9" t="inlineStr">
        <is>
          <t>Gulf Coast</t>
        </is>
      </c>
      <c r="G319" s="9" t="inlineStr">
        <is>
          <t>Sarasota</t>
        </is>
      </c>
      <c r="H319" s="9" t="inlineStr">
        <is>
          <t>Meridian Bench</t>
        </is>
      </c>
      <c r="I319" s="10" t="n">
        <v>3</v>
      </c>
      <c r="J319" s="16" t="n">
        <v>4850</v>
      </c>
      <c r="K319" s="18" t="n">
        <v>0.05</v>
      </c>
      <c r="L319" s="16">
        <f>I319*J319</f>
        <v/>
      </c>
      <c r="M319" s="16">
        <f>ROUND(L319*(1-K319),2)</f>
        <v/>
      </c>
      <c r="N319" s="16" t="n">
        <v>2910</v>
      </c>
      <c r="O319" s="16">
        <f>I319*N319</f>
        <v/>
      </c>
      <c r="P319" s="18">
        <f>IFERROR((M319-O319)/M319,0)</f>
        <v/>
      </c>
      <c r="Q319" s="16" t="n">
        <v>89.43000000000001</v>
      </c>
      <c r="R319" s="9" t="inlineStr">
        <is>
          <t>Partner</t>
        </is>
      </c>
      <c r="S319" s="9" t="inlineStr">
        <is>
          <t>Avery Kellen</t>
        </is>
      </c>
      <c r="T319" s="9" t="inlineStr">
        <is>
          <t>Invoiced</t>
        </is>
      </c>
      <c r="U319" s="10" t="n">
        <v>340</v>
      </c>
      <c r="V319" s="9" t="inlineStr"/>
    </row>
    <row r="320">
      <c r="A320" s="7" t="inlineStr">
        <is>
          <t>AP-32348</t>
        </is>
      </c>
      <c r="B320" s="23" t="n">
        <v>46250</v>
      </c>
      <c r="C320" s="7">
        <f>TEXT(B320,"yyyy-mm")</f>
        <v/>
      </c>
      <c r="D320" s="7" t="inlineStr">
        <is>
          <t>DIR-000</t>
        </is>
      </c>
      <c r="E320" s="9" t="inlineStr">
        <is>
          <t>Apex Instruments direct</t>
        </is>
      </c>
      <c r="F320" s="9" t="inlineStr">
        <is>
          <t>House</t>
        </is>
      </c>
      <c r="G320" s="9" t="inlineStr">
        <is>
          <t>Tampa</t>
        </is>
      </c>
      <c r="H320" s="9" t="inlineStr">
        <is>
          <t>Meridian Bench</t>
        </is>
      </c>
      <c r="I320" s="10" t="n">
        <v>3</v>
      </c>
      <c r="J320" s="16" t="n">
        <v>4850</v>
      </c>
      <c r="K320" s="18" t="n">
        <v>0</v>
      </c>
      <c r="L320" s="16">
        <f>I320*J320</f>
        <v/>
      </c>
      <c r="M320" s="16">
        <f>ROUND(L320*(1-K320),2)</f>
        <v/>
      </c>
      <c r="N320" s="16" t="n">
        <v>2910</v>
      </c>
      <c r="O320" s="16">
        <f>I320*N320</f>
        <v/>
      </c>
      <c r="P320" s="18">
        <f>IFERROR((M320-O320)/M320,0)</f>
        <v/>
      </c>
      <c r="Q320" s="16" t="n">
        <v>89.16</v>
      </c>
      <c r="R320" s="9" t="inlineStr">
        <is>
          <t>Direct</t>
        </is>
      </c>
      <c r="S320" s="9" t="inlineStr">
        <is>
          <t>Sami Torres</t>
        </is>
      </c>
      <c r="T320" s="9" t="inlineStr">
        <is>
          <t>Shipped</t>
        </is>
      </c>
      <c r="U320" s="10" t="n">
        <v>341</v>
      </c>
      <c r="V320" s="9" t="inlineStr">
        <is>
          <t>Ship with calibration cert</t>
        </is>
      </c>
    </row>
    <row r="321">
      <c r="A321" s="7" t="inlineStr">
        <is>
          <t>AP-32356</t>
        </is>
      </c>
      <c r="B321" s="23" t="n">
        <v>46219</v>
      </c>
      <c r="C321" s="7">
        <f>TEXT(B321,"yyyy-mm")</f>
        <v/>
      </c>
      <c r="D321" s="7" t="inlineStr">
        <is>
          <t>NLG-031</t>
        </is>
      </c>
      <c r="E321" s="9" t="inlineStr">
        <is>
          <t>Northlight Group</t>
        </is>
      </c>
      <c r="F321" s="9" t="inlineStr">
        <is>
          <t>Gulf Coast</t>
        </is>
      </c>
      <c r="G321" s="9" t="inlineStr">
        <is>
          <t>Sarasota</t>
        </is>
      </c>
      <c r="H321" s="9" t="inlineStr">
        <is>
          <t>Atlas Care Plus</t>
        </is>
      </c>
      <c r="I321" s="10" t="n">
        <v>12</v>
      </c>
      <c r="J321" s="16" t="n">
        <v>1788</v>
      </c>
      <c r="K321" s="18" t="n">
        <v>0.05</v>
      </c>
      <c r="L321" s="16">
        <f>I321*J321</f>
        <v/>
      </c>
      <c r="M321" s="16">
        <f>ROUND(L321*(1-K321),2)</f>
        <v/>
      </c>
      <c r="N321" s="16" t="n">
        <v>447</v>
      </c>
      <c r="O321" s="16">
        <f>I321*N321</f>
        <v/>
      </c>
      <c r="P321" s="18">
        <f>IFERROR((M321-O321)/M321,0)</f>
        <v/>
      </c>
      <c r="Q321" s="16" t="n">
        <v>0</v>
      </c>
      <c r="R321" s="9" t="inlineStr">
        <is>
          <t>Partner</t>
        </is>
      </c>
      <c r="S321" s="9" t="inlineStr">
        <is>
          <t>Avery Kellen</t>
        </is>
      </c>
      <c r="T321" s="9" t="inlineStr">
        <is>
          <t>Invoiced</t>
        </is>
      </c>
      <c r="U321" s="10" t="n">
        <v>342</v>
      </c>
      <c r="V321" s="9" t="inlineStr">
        <is>
          <t>Quote 2026-Q3 pricing</t>
        </is>
      </c>
    </row>
    <row r="322">
      <c r="A322" s="7" t="inlineStr">
        <is>
          <t>AP-32361</t>
        </is>
      </c>
      <c r="B322" s="23" t="n">
        <v>46210</v>
      </c>
      <c r="C322" s="7">
        <f>TEXT(B322,"yyyy-mm")</f>
        <v/>
      </c>
      <c r="D322" s="7" t="inlineStr">
        <is>
          <t>DIR-000</t>
        </is>
      </c>
      <c r="E322" s="9" t="inlineStr">
        <is>
          <t>Apex Instruments direct</t>
        </is>
      </c>
      <c r="F322" s="9" t="inlineStr">
        <is>
          <t>House</t>
        </is>
      </c>
      <c r="G322" s="9" t="inlineStr">
        <is>
          <t>Tampa</t>
        </is>
      </c>
      <c r="H322" s="9" t="inlineStr">
        <is>
          <t>Meridian Field Kit</t>
        </is>
      </c>
      <c r="I322" s="10" t="n">
        <v>3</v>
      </c>
      <c r="J322" s="16" t="n">
        <v>1240</v>
      </c>
      <c r="K322" s="18" t="n">
        <v>0.12</v>
      </c>
      <c r="L322" s="16">
        <f>I322*J322</f>
        <v/>
      </c>
      <c r="M322" s="16">
        <f>ROUND(L322*(1-K322),2)</f>
        <v/>
      </c>
      <c r="N322" s="16" t="n">
        <v>806</v>
      </c>
      <c r="O322" s="16">
        <f>I322*N322</f>
        <v/>
      </c>
      <c r="P322" s="18">
        <f>IFERROR((M322-O322)/M322,0)</f>
        <v/>
      </c>
      <c r="Q322" s="16" t="n">
        <v>145.99</v>
      </c>
      <c r="R322" s="9" t="inlineStr">
        <is>
          <t>Direct</t>
        </is>
      </c>
      <c r="S322" s="9" t="inlineStr">
        <is>
          <t>Sami Torres</t>
        </is>
      </c>
      <c r="T322" s="9" t="inlineStr">
        <is>
          <t>Shipped</t>
        </is>
      </c>
      <c r="U322" s="10" t="n">
        <v>343</v>
      </c>
      <c r="V322" s="9" t="inlineStr">
        <is>
          <t>Ship with calibration cert</t>
        </is>
      </c>
    </row>
    <row r="323">
      <c r="A323" s="7" t="inlineStr">
        <is>
          <t>AP-32370</t>
        </is>
      </c>
      <c r="B323" s="23" t="n">
        <v>46281</v>
      </c>
      <c r="C323" s="7">
        <f>TEXT(B323,"yyyy-mm")</f>
        <v/>
      </c>
      <c r="D323" s="7" t="inlineStr">
        <is>
          <t>NLG-022</t>
        </is>
      </c>
      <c r="E323" s="9" t="inlineStr">
        <is>
          <t>Northlight Group</t>
        </is>
      </c>
      <c r="F323" s="9" t="inlineStr">
        <is>
          <t>Central Florida</t>
        </is>
      </c>
      <c r="G323" s="9" t="inlineStr">
        <is>
          <t>Orlando</t>
        </is>
      </c>
      <c r="H323" s="9" t="inlineStr">
        <is>
          <t>Meridian Field Kit</t>
        </is>
      </c>
      <c r="I323" s="10" t="n">
        <v>8</v>
      </c>
      <c r="J323" s="16" t="n">
        <v>1240</v>
      </c>
      <c r="K323" s="18" t="n">
        <v>0.1</v>
      </c>
      <c r="L323" s="16">
        <f>I323*J323</f>
        <v/>
      </c>
      <c r="M323" s="16">
        <f>ROUND(L323*(1-K323),2)</f>
        <v/>
      </c>
      <c r="N323" s="16" t="n">
        <v>806</v>
      </c>
      <c r="O323" s="16">
        <f>I323*N323</f>
        <v/>
      </c>
      <c r="P323" s="18">
        <f>IFERROR((M323-O323)/M323,0)</f>
        <v/>
      </c>
      <c r="Q323" s="16" t="n">
        <v>112.98</v>
      </c>
      <c r="R323" s="9" t="inlineStr">
        <is>
          <t>Partner</t>
        </is>
      </c>
      <c r="S323" s="9" t="inlineStr">
        <is>
          <t>Sami Torres</t>
        </is>
      </c>
      <c r="T323" s="9" t="inlineStr">
        <is>
          <t>Shipped</t>
        </is>
      </c>
      <c r="U323" s="10" t="n">
        <v>344</v>
      </c>
      <c r="V323" s="9" t="inlineStr">
        <is>
          <t>Renewal</t>
        </is>
      </c>
    </row>
    <row r="324">
      <c r="A324" s="7" t="inlineStr">
        <is>
          <t>AP-32373</t>
        </is>
      </c>
      <c r="B324" s="23" t="n">
        <v>46269</v>
      </c>
      <c r="C324" s="7">
        <f>TEXT(B324,"yyyy-mm")</f>
        <v/>
      </c>
      <c r="D324" s="7" t="inlineStr">
        <is>
          <t>NLG-014</t>
        </is>
      </c>
      <c r="E324" s="9" t="inlineStr">
        <is>
          <t>Northlight Group</t>
        </is>
      </c>
      <c r="F324" s="9" t="inlineStr">
        <is>
          <t>Gulf Coast</t>
        </is>
      </c>
      <c r="G324" s="9" t="inlineStr">
        <is>
          <t>St. Petersburg</t>
        </is>
      </c>
      <c r="H324" s="9" t="inlineStr">
        <is>
          <t>Meridian Field Kit</t>
        </is>
      </c>
      <c r="I324" s="10" t="n">
        <v>5</v>
      </c>
      <c r="J324" s="16" t="n">
        <v>1240</v>
      </c>
      <c r="K324" s="18" t="n">
        <v>0.12</v>
      </c>
      <c r="L324" s="16">
        <f>I324*J324</f>
        <v/>
      </c>
      <c r="M324" s="16">
        <f>ROUND(L324*(1-K324),2)</f>
        <v/>
      </c>
      <c r="N324" s="16" t="n">
        <v>806</v>
      </c>
      <c r="O324" s="16">
        <f>I324*N324</f>
        <v/>
      </c>
      <c r="P324" s="18">
        <f>IFERROR((M324-O324)/M324,0)</f>
        <v/>
      </c>
      <c r="Q324" s="16" t="n">
        <v>72.26000000000001</v>
      </c>
      <c r="R324" s="9" t="inlineStr">
        <is>
          <t>Partner</t>
        </is>
      </c>
      <c r="S324" s="9" t="inlineStr">
        <is>
          <t>Avery Kellen</t>
        </is>
      </c>
      <c r="T324" s="9" t="inlineStr">
        <is>
          <t>Invoiced</t>
        </is>
      </c>
      <c r="U324" s="10" t="n">
        <v>345</v>
      </c>
      <c r="V324" s="9" t="inlineStr">
        <is>
          <t>Partner pickup</t>
        </is>
      </c>
    </row>
    <row r="325">
      <c r="A325" s="7" t="inlineStr">
        <is>
          <t>AP-32380</t>
        </is>
      </c>
      <c r="B325" s="23" t="n">
        <v>46268</v>
      </c>
      <c r="C325" s="7">
        <f>TEXT(B325,"yyyy-mm")</f>
        <v/>
      </c>
      <c r="D325" s="7" t="inlineStr">
        <is>
          <t>NLG-022</t>
        </is>
      </c>
      <c r="E325" s="9" t="inlineStr">
        <is>
          <t>Northlight Group</t>
        </is>
      </c>
      <c r="F325" s="9" t="inlineStr">
        <is>
          <t>Central Florida</t>
        </is>
      </c>
      <c r="G325" s="9" t="inlineStr">
        <is>
          <t>Orlando</t>
        </is>
      </c>
      <c r="H325" s="9" t="inlineStr">
        <is>
          <t>Atlas Care Plus</t>
        </is>
      </c>
      <c r="I325" s="10" t="n">
        <v>4</v>
      </c>
      <c r="J325" s="16" t="n">
        <v>1788</v>
      </c>
      <c r="K325" s="18" t="n">
        <v>0</v>
      </c>
      <c r="L325" s="16">
        <f>I325*J325</f>
        <v/>
      </c>
      <c r="M325" s="16">
        <f>ROUND(L325*(1-K325),2)</f>
        <v/>
      </c>
      <c r="N325" s="16" t="n">
        <v>447</v>
      </c>
      <c r="O325" s="16">
        <f>I325*N325</f>
        <v/>
      </c>
      <c r="P325" s="18">
        <f>IFERROR((M325-O325)/M325,0)</f>
        <v/>
      </c>
      <c r="Q325" s="16" t="n">
        <v>0</v>
      </c>
      <c r="R325" s="9" t="inlineStr">
        <is>
          <t>Partner</t>
        </is>
      </c>
      <c r="S325" s="9" t="inlineStr">
        <is>
          <t>Avery Kellen</t>
        </is>
      </c>
      <c r="T325" s="9" t="inlineStr">
        <is>
          <t>Shipped</t>
        </is>
      </c>
      <c r="U325" s="10" t="n">
        <v>346</v>
      </c>
      <c r="V325" s="9" t="inlineStr">
        <is>
          <t>Rush requested</t>
        </is>
      </c>
    </row>
    <row r="326">
      <c r="A326" s="7" t="inlineStr">
        <is>
          <t>AP-32390</t>
        </is>
      </c>
      <c r="B326" s="23" t="n">
        <v>46249</v>
      </c>
      <c r="C326" s="7">
        <f>TEXT(B326,"yyyy-mm")</f>
        <v/>
      </c>
      <c r="D326" s="7" t="inlineStr">
        <is>
          <t>NLG-014</t>
        </is>
      </c>
      <c r="E326" s="9" t="inlineStr">
        <is>
          <t>Northlight Group</t>
        </is>
      </c>
      <c r="F326" s="9" t="inlineStr">
        <is>
          <t>Gulf Coast</t>
        </is>
      </c>
      <c r="G326" s="9" t="inlineStr">
        <is>
          <t>St. Petersburg</t>
        </is>
      </c>
      <c r="H326" s="9" t="inlineStr">
        <is>
          <t>On-site training</t>
        </is>
      </c>
      <c r="I326" s="10" t="n">
        <v>1</v>
      </c>
      <c r="J326" s="16" t="n">
        <v>650</v>
      </c>
      <c r="K326" s="18" t="n">
        <v>0</v>
      </c>
      <c r="L326" s="16">
        <f>I326*J326</f>
        <v/>
      </c>
      <c r="M326" s="16">
        <f>ROUND(L326*(1-K326),2)</f>
        <v/>
      </c>
      <c r="N326" s="16" t="n">
        <v>429</v>
      </c>
      <c r="O326" s="16">
        <f>I326*N326</f>
        <v/>
      </c>
      <c r="P326" s="18">
        <f>IFERROR((M326-O326)/M326,0)</f>
        <v/>
      </c>
      <c r="Q326" s="16" t="n">
        <v>0</v>
      </c>
      <c r="R326" s="9" t="inlineStr">
        <is>
          <t>Partner</t>
        </is>
      </c>
      <c r="S326" s="9" t="inlineStr">
        <is>
          <t>Jordan Vale</t>
        </is>
      </c>
      <c r="T326" s="9" t="inlineStr">
        <is>
          <t>Shipped</t>
        </is>
      </c>
      <c r="U326" s="10" t="n">
        <v>347</v>
      </c>
      <c r="V326" s="9" t="inlineStr">
        <is>
          <t>Backorder cleared</t>
        </is>
      </c>
    </row>
    <row r="327">
      <c r="A327" s="7" t="inlineStr">
        <is>
          <t>AP-32395</t>
        </is>
      </c>
      <c r="B327" s="23" t="n">
        <v>46289</v>
      </c>
      <c r="C327" s="7">
        <f>TEXT(B327,"yyyy-mm")</f>
        <v/>
      </c>
      <c r="D327" s="7" t="inlineStr">
        <is>
          <t>NLG-036</t>
        </is>
      </c>
      <c r="E327" s="9" t="inlineStr">
        <is>
          <t>Northlight Group</t>
        </is>
      </c>
      <c r="F327" s="9" t="inlineStr">
        <is>
          <t>Gulf Coast</t>
        </is>
      </c>
      <c r="G327" s="9" t="inlineStr">
        <is>
          <t>Clearwater</t>
        </is>
      </c>
      <c r="H327" s="9" t="inlineStr">
        <is>
          <t>Calibration service</t>
        </is>
      </c>
      <c r="I327" s="10" t="n">
        <v>6</v>
      </c>
      <c r="J327" s="16" t="n">
        <v>180</v>
      </c>
      <c r="K327" s="18" t="n">
        <v>0</v>
      </c>
      <c r="L327" s="16">
        <f>I327*J327</f>
        <v/>
      </c>
      <c r="M327" s="16">
        <f>ROUND(L327*(1-K327),2)</f>
        <v/>
      </c>
      <c r="N327" s="16" t="n">
        <v>99</v>
      </c>
      <c r="O327" s="16">
        <f>I327*N327</f>
        <v/>
      </c>
      <c r="P327" s="18">
        <f>IFERROR((M327-O327)/M327,0)</f>
        <v/>
      </c>
      <c r="Q327" s="16" t="n">
        <v>0</v>
      </c>
      <c r="R327" s="9" t="inlineStr">
        <is>
          <t>Partner</t>
        </is>
      </c>
      <c r="S327" s="9" t="inlineStr">
        <is>
          <t>Jordan Vale</t>
        </is>
      </c>
      <c r="T327" s="9" t="inlineStr">
        <is>
          <t>Open</t>
        </is>
      </c>
      <c r="U327" s="10" t="n">
        <v>348</v>
      </c>
      <c r="V327" s="9" t="inlineStr"/>
    </row>
    <row r="328">
      <c r="A328" s="7" t="inlineStr">
        <is>
          <t>AP-32403</t>
        </is>
      </c>
      <c r="B328" s="23" t="n">
        <v>46245</v>
      </c>
      <c r="C328" s="7">
        <f>TEXT(B328,"yyyy-mm")</f>
        <v/>
      </c>
      <c r="D328" s="7" t="inlineStr">
        <is>
          <t>NLG-022</t>
        </is>
      </c>
      <c r="E328" s="9" t="inlineStr">
        <is>
          <t>Northlight Group</t>
        </is>
      </c>
      <c r="F328" s="9" t="inlineStr">
        <is>
          <t>Central Florida</t>
        </is>
      </c>
      <c r="G328" s="9" t="inlineStr">
        <is>
          <t>Orlando</t>
        </is>
      </c>
      <c r="H328" s="9" t="inlineStr">
        <is>
          <t>Meridian Bench</t>
        </is>
      </c>
      <c r="I328" s="10" t="n">
        <v>1</v>
      </c>
      <c r="J328" s="16" t="n">
        <v>4850</v>
      </c>
      <c r="K328" s="18" t="n">
        <v>0</v>
      </c>
      <c r="L328" s="16">
        <f>I328*J328</f>
        <v/>
      </c>
      <c r="M328" s="16">
        <f>ROUND(L328*(1-K328),2)</f>
        <v/>
      </c>
      <c r="N328" s="16" t="n">
        <v>2910</v>
      </c>
      <c r="O328" s="16">
        <f>I328*N328</f>
        <v/>
      </c>
      <c r="P328" s="18">
        <f>IFERROR((M328-O328)/M328,0)</f>
        <v/>
      </c>
      <c r="Q328" s="16" t="n">
        <v>40.55</v>
      </c>
      <c r="R328" s="9" t="inlineStr">
        <is>
          <t>Partner</t>
        </is>
      </c>
      <c r="S328" s="9" t="inlineStr">
        <is>
          <t>Morgan Reyes</t>
        </is>
      </c>
      <c r="T328" s="9" t="inlineStr">
        <is>
          <t>Invoiced</t>
        </is>
      </c>
      <c r="U328" s="10" t="n">
        <v>349</v>
      </c>
      <c r="V328" s="9" t="inlineStr"/>
    </row>
    <row r="329">
      <c r="A329" s="7" t="inlineStr">
        <is>
          <t>AP-32412</t>
        </is>
      </c>
      <c r="B329" s="23" t="n">
        <v>46207</v>
      </c>
      <c r="C329" s="7">
        <f>TEXT(B329,"yyyy-mm")</f>
        <v/>
      </c>
      <c r="D329" s="7" t="inlineStr">
        <is>
          <t>NLG-014</t>
        </is>
      </c>
      <c r="E329" s="9" t="inlineStr">
        <is>
          <t>Northlight Group</t>
        </is>
      </c>
      <c r="F329" s="9" t="inlineStr">
        <is>
          <t>Gulf Coast</t>
        </is>
      </c>
      <c r="G329" s="9" t="inlineStr">
        <is>
          <t>St. Petersburg</t>
        </is>
      </c>
      <c r="H329" s="9" t="inlineStr">
        <is>
          <t>Meridian Bench</t>
        </is>
      </c>
      <c r="I329" s="10" t="n">
        <v>1</v>
      </c>
      <c r="J329" s="16" t="n">
        <v>4850</v>
      </c>
      <c r="K329" s="18" t="n">
        <v>0</v>
      </c>
      <c r="L329" s="16">
        <f>I329*J329</f>
        <v/>
      </c>
      <c r="M329" s="16">
        <f>ROUND(L329*(1-K329),2)</f>
        <v/>
      </c>
      <c r="N329" s="16" t="n">
        <v>2910</v>
      </c>
      <c r="O329" s="16">
        <f>I329*N329</f>
        <v/>
      </c>
      <c r="P329" s="18">
        <f>IFERROR((M329-O329)/M329,0)</f>
        <v/>
      </c>
      <c r="Q329" s="16" t="n">
        <v>163.81</v>
      </c>
      <c r="R329" s="9" t="inlineStr">
        <is>
          <t>Partner</t>
        </is>
      </c>
      <c r="S329" s="9" t="inlineStr">
        <is>
          <t>Morgan Reyes</t>
        </is>
      </c>
      <c r="T329" s="9" t="inlineStr">
        <is>
          <t>Open</t>
        </is>
      </c>
      <c r="U329" s="10" t="n">
        <v>350</v>
      </c>
      <c r="V329" s="9" t="inlineStr">
        <is>
          <t>Rush requested</t>
        </is>
      </c>
    </row>
    <row r="330">
      <c r="A330" s="7" t="inlineStr">
        <is>
          <t>AP-32415</t>
        </is>
      </c>
      <c r="B330" s="23" t="n">
        <v>46268</v>
      </c>
      <c r="C330" s="7">
        <f>TEXT(B330,"yyyy-mm")</f>
        <v/>
      </c>
      <c r="D330" s="7" t="inlineStr">
        <is>
          <t>NLG-022</t>
        </is>
      </c>
      <c r="E330" s="9" t="inlineStr">
        <is>
          <t>Northlight Group</t>
        </is>
      </c>
      <c r="F330" s="9" t="inlineStr">
        <is>
          <t>Central Florida</t>
        </is>
      </c>
      <c r="G330" s="9" t="inlineStr">
        <is>
          <t>Orlando</t>
        </is>
      </c>
      <c r="H330" s="9" t="inlineStr">
        <is>
          <t>Meridian Field Kit</t>
        </is>
      </c>
      <c r="I330" s="10" t="n">
        <v>2</v>
      </c>
      <c r="J330" s="16" t="n">
        <v>1240</v>
      </c>
      <c r="K330" s="18" t="n">
        <v>0</v>
      </c>
      <c r="L330" s="16">
        <f>I330*J330</f>
        <v/>
      </c>
      <c r="M330" s="16">
        <f>ROUND(L330*(1-K330),2)</f>
        <v/>
      </c>
      <c r="N330" s="16" t="n">
        <v>806</v>
      </c>
      <c r="O330" s="16">
        <f>I330*N330</f>
        <v/>
      </c>
      <c r="P330" s="18">
        <f>IFERROR((M330-O330)/M330,0)</f>
        <v/>
      </c>
      <c r="Q330" s="16" t="n">
        <v>51.99</v>
      </c>
      <c r="R330" s="9" t="inlineStr">
        <is>
          <t>Partner</t>
        </is>
      </c>
      <c r="S330" s="9" t="inlineStr">
        <is>
          <t>Morgan Reyes</t>
        </is>
      </c>
      <c r="T330" s="9" t="inlineStr">
        <is>
          <t>Shipped</t>
        </is>
      </c>
      <c r="U330" s="10" t="n">
        <v>351</v>
      </c>
      <c r="V330" s="9" t="inlineStr"/>
    </row>
    <row r="331">
      <c r="A331" s="7" t="inlineStr">
        <is>
          <t>AP-32422</t>
        </is>
      </c>
      <c r="B331" s="23" t="n">
        <v>46217</v>
      </c>
      <c r="C331" s="7">
        <f>TEXT(B331,"yyyy-mm")</f>
        <v/>
      </c>
      <c r="D331" s="7" t="inlineStr">
        <is>
          <t>DIR-000</t>
        </is>
      </c>
      <c r="E331" s="9" t="inlineStr">
        <is>
          <t>Apex Instruments direct</t>
        </is>
      </c>
      <c r="F331" s="9" t="inlineStr">
        <is>
          <t>House</t>
        </is>
      </c>
      <c r="G331" s="9" t="inlineStr">
        <is>
          <t>Tampa</t>
        </is>
      </c>
      <c r="H331" s="9" t="inlineStr">
        <is>
          <t>Calibration service</t>
        </is>
      </c>
      <c r="I331" s="10" t="n">
        <v>6</v>
      </c>
      <c r="J331" s="16" t="n">
        <v>180</v>
      </c>
      <c r="K331" s="18" t="n">
        <v>0</v>
      </c>
      <c r="L331" s="16">
        <f>I331*J331</f>
        <v/>
      </c>
      <c r="M331" s="16">
        <f>ROUND(L331*(1-K331),2)</f>
        <v/>
      </c>
      <c r="N331" s="16" t="n">
        <v>99</v>
      </c>
      <c r="O331" s="16">
        <f>I331*N331</f>
        <v/>
      </c>
      <c r="P331" s="18">
        <f>IFERROR((M331-O331)/M331,0)</f>
        <v/>
      </c>
      <c r="Q331" s="16" t="n">
        <v>0</v>
      </c>
      <c r="R331" s="9" t="inlineStr">
        <is>
          <t>Direct</t>
        </is>
      </c>
      <c r="S331" s="9" t="inlineStr">
        <is>
          <t>Avery Kellen</t>
        </is>
      </c>
      <c r="T331" s="9" t="inlineStr">
        <is>
          <t>Shipped</t>
        </is>
      </c>
      <c r="U331" s="10" t="n">
        <v>352</v>
      </c>
      <c r="V331" s="9" t="inlineStr"/>
    </row>
    <row r="332">
      <c r="A332" s="7" t="inlineStr">
        <is>
          <t>AP-32429</t>
        </is>
      </c>
      <c r="B332" s="23" t="n">
        <v>46260</v>
      </c>
      <c r="C332" s="7">
        <f>TEXT(B332,"yyyy-mm")</f>
        <v/>
      </c>
      <c r="D332" s="7" t="inlineStr">
        <is>
          <t>NLG-036</t>
        </is>
      </c>
      <c r="E332" s="9" t="inlineStr">
        <is>
          <t>Northlight Group</t>
        </is>
      </c>
      <c r="F332" s="9" t="inlineStr">
        <is>
          <t>Gulf Coast</t>
        </is>
      </c>
      <c r="G332" s="9" t="inlineStr">
        <is>
          <t>Clearwater</t>
        </is>
      </c>
      <c r="H332" s="9" t="inlineStr">
        <is>
          <t>Calibration service</t>
        </is>
      </c>
      <c r="I332" s="10" t="n">
        <v>3</v>
      </c>
      <c r="J332" s="16" t="n">
        <v>180</v>
      </c>
      <c r="K332" s="18" t="n">
        <v>0.05</v>
      </c>
      <c r="L332" s="16">
        <f>I332*J332</f>
        <v/>
      </c>
      <c r="M332" s="16">
        <f>ROUND(L332*(1-K332),2)</f>
        <v/>
      </c>
      <c r="N332" s="16" t="n">
        <v>99</v>
      </c>
      <c r="O332" s="16">
        <f>I332*N332</f>
        <v/>
      </c>
      <c r="P332" s="18">
        <f>IFERROR((M332-O332)/M332,0)</f>
        <v/>
      </c>
      <c r="Q332" s="16" t="n">
        <v>0</v>
      </c>
      <c r="R332" s="9" t="inlineStr">
        <is>
          <t>Partner</t>
        </is>
      </c>
      <c r="S332" s="9" t="inlineStr">
        <is>
          <t>Jordan Vale</t>
        </is>
      </c>
      <c r="T332" s="9" t="inlineStr">
        <is>
          <t>Shipped</t>
        </is>
      </c>
      <c r="U332" s="10" t="n">
        <v>353</v>
      </c>
      <c r="V332" s="9" t="inlineStr"/>
    </row>
    <row r="333">
      <c r="A333" s="7" t="inlineStr">
        <is>
          <t>AP-32438</t>
        </is>
      </c>
      <c r="B333" s="23" t="n">
        <v>46215</v>
      </c>
      <c r="C333" s="7">
        <f>TEXT(B333,"yyyy-mm")</f>
        <v/>
      </c>
      <c r="D333" s="7" t="inlineStr">
        <is>
          <t>DIR-000</t>
        </is>
      </c>
      <c r="E333" s="9" t="inlineStr">
        <is>
          <t>Apex Instruments direct</t>
        </is>
      </c>
      <c r="F333" s="9" t="inlineStr">
        <is>
          <t>House</t>
        </is>
      </c>
      <c r="G333" s="9" t="inlineStr">
        <is>
          <t>Tampa</t>
        </is>
      </c>
      <c r="H333" s="9" t="inlineStr">
        <is>
          <t>On-site training</t>
        </is>
      </c>
      <c r="I333" s="10" t="n">
        <v>2</v>
      </c>
      <c r="J333" s="16" t="n">
        <v>650</v>
      </c>
      <c r="K333" s="18" t="n">
        <v>0.1</v>
      </c>
      <c r="L333" s="16">
        <f>I333*J333</f>
        <v/>
      </c>
      <c r="M333" s="16">
        <f>ROUND(L333*(1-K333),2)</f>
        <v/>
      </c>
      <c r="N333" s="16" t="n">
        <v>429</v>
      </c>
      <c r="O333" s="16">
        <f>I333*N333</f>
        <v/>
      </c>
      <c r="P333" s="18">
        <f>IFERROR((M333-O333)/M333,0)</f>
        <v/>
      </c>
      <c r="Q333" s="16" t="n">
        <v>0</v>
      </c>
      <c r="R333" s="9" t="inlineStr">
        <is>
          <t>Direct</t>
        </is>
      </c>
      <c r="S333" s="9" t="inlineStr">
        <is>
          <t>Jordan Vale</t>
        </is>
      </c>
      <c r="T333" s="9" t="inlineStr">
        <is>
          <t>Shipped</t>
        </is>
      </c>
      <c r="U333" s="10" t="n">
        <v>354</v>
      </c>
      <c r="V333" s="9" t="inlineStr"/>
    </row>
    <row r="334">
      <c r="A334" s="7" t="inlineStr">
        <is>
          <t>AP-32451</t>
        </is>
      </c>
      <c r="B334" s="23" t="n">
        <v>46239</v>
      </c>
      <c r="C334" s="7">
        <f>TEXT(B334,"yyyy-mm")</f>
        <v/>
      </c>
      <c r="D334" s="7" t="inlineStr">
        <is>
          <t>NLG-014</t>
        </is>
      </c>
      <c r="E334" s="9" t="inlineStr">
        <is>
          <t>Northlight Group</t>
        </is>
      </c>
      <c r="F334" s="9" t="inlineStr">
        <is>
          <t>Gulf Coast</t>
        </is>
      </c>
      <c r="G334" s="9" t="inlineStr">
        <is>
          <t>St. Petersburg</t>
        </is>
      </c>
      <c r="H334" s="9" t="inlineStr">
        <is>
          <t>On-site training</t>
        </is>
      </c>
      <c r="I334" s="10" t="n">
        <v>2</v>
      </c>
      <c r="J334" s="16" t="n">
        <v>650</v>
      </c>
      <c r="K334" s="18" t="n">
        <v>0.03</v>
      </c>
      <c r="L334" s="16">
        <f>I334*J334</f>
        <v/>
      </c>
      <c r="M334" s="16">
        <f>ROUND(L334*(1-K334),2)</f>
        <v/>
      </c>
      <c r="N334" s="16" t="n">
        <v>429</v>
      </c>
      <c r="O334" s="16">
        <f>I334*N334</f>
        <v/>
      </c>
      <c r="P334" s="18">
        <f>IFERROR((M334-O334)/M334,0)</f>
        <v/>
      </c>
      <c r="Q334" s="16" t="n">
        <v>0</v>
      </c>
      <c r="R334" s="9" t="inlineStr">
        <is>
          <t>Partner</t>
        </is>
      </c>
      <c r="S334" s="9" t="inlineStr">
        <is>
          <t>Morgan Reyes</t>
        </is>
      </c>
      <c r="T334" s="9" t="inlineStr">
        <is>
          <t>Invoiced</t>
        </is>
      </c>
      <c r="U334" s="10" t="n">
        <v>356</v>
      </c>
      <c r="V334" s="9" t="inlineStr">
        <is>
          <t>Renewal</t>
        </is>
      </c>
    </row>
    <row r="335">
      <c r="A335" s="7" t="inlineStr">
        <is>
          <t>AP-32457</t>
        </is>
      </c>
      <c r="B335" s="23" t="n">
        <v>46259</v>
      </c>
      <c r="C335" s="7">
        <f>TEXT(B335,"yyyy-mm")</f>
        <v/>
      </c>
      <c r="D335" s="7" t="inlineStr">
        <is>
          <t>DIR-000</t>
        </is>
      </c>
      <c r="E335" s="9" t="inlineStr">
        <is>
          <t>Apex Instruments direct</t>
        </is>
      </c>
      <c r="F335" s="9" t="inlineStr">
        <is>
          <t>House</t>
        </is>
      </c>
      <c r="G335" s="9" t="inlineStr">
        <is>
          <t>Tampa</t>
        </is>
      </c>
      <c r="H335" s="9" t="inlineStr">
        <is>
          <t>Meridian Field Kit</t>
        </is>
      </c>
      <c r="I335" s="10" t="n">
        <v>3</v>
      </c>
      <c r="J335" s="16" t="n">
        <v>1240</v>
      </c>
      <c r="K335" s="18" t="n">
        <v>0</v>
      </c>
      <c r="L335" s="16">
        <f>I335*J335</f>
        <v/>
      </c>
      <c r="M335" s="16">
        <f>ROUND(L335*(1-K335),2)</f>
        <v/>
      </c>
      <c r="N335" s="16" t="n">
        <v>806</v>
      </c>
      <c r="O335" s="16">
        <f>I335*N335</f>
        <v/>
      </c>
      <c r="P335" s="18">
        <f>IFERROR((M335-O335)/M335,0)</f>
        <v/>
      </c>
      <c r="Q335" s="16" t="n">
        <v>187.29</v>
      </c>
      <c r="R335" s="9" t="inlineStr">
        <is>
          <t>Direct</t>
        </is>
      </c>
      <c r="S335" s="9" t="inlineStr">
        <is>
          <t>Sami Torres</t>
        </is>
      </c>
      <c r="T335" s="9" t="inlineStr">
        <is>
          <t>Shipped</t>
        </is>
      </c>
      <c r="U335" s="10" t="n">
        <v>357</v>
      </c>
      <c r="V335" s="9" t="inlineStr"/>
    </row>
    <row r="336">
      <c r="A336" s="7" t="inlineStr">
        <is>
          <t>AP-32465</t>
        </is>
      </c>
      <c r="B336" s="23" t="n">
        <v>46236</v>
      </c>
      <c r="C336" s="7">
        <f>TEXT(B336,"yyyy-mm")</f>
        <v/>
      </c>
      <c r="D336" s="7" t="inlineStr">
        <is>
          <t>DIR-000</t>
        </is>
      </c>
      <c r="E336" s="9" t="inlineStr">
        <is>
          <t>Apex Instruments direct</t>
        </is>
      </c>
      <c r="F336" s="9" t="inlineStr">
        <is>
          <t>House</t>
        </is>
      </c>
      <c r="G336" s="9" t="inlineStr">
        <is>
          <t>Tampa</t>
        </is>
      </c>
      <c r="H336" s="9" t="inlineStr">
        <is>
          <t>On-site training</t>
        </is>
      </c>
      <c r="I336" s="10" t="n">
        <v>1</v>
      </c>
      <c r="J336" s="16" t="n">
        <v>650</v>
      </c>
      <c r="K336" s="18" t="n">
        <v>0.03</v>
      </c>
      <c r="L336" s="16">
        <f>I336*J336</f>
        <v/>
      </c>
      <c r="M336" s="16">
        <f>ROUND(L336*(1-K336),2)</f>
        <v/>
      </c>
      <c r="N336" s="16" t="n">
        <v>429</v>
      </c>
      <c r="O336" s="16">
        <f>I336*N336</f>
        <v/>
      </c>
      <c r="P336" s="18">
        <f>IFERROR((M336-O336)/M336,0)</f>
        <v/>
      </c>
      <c r="Q336" s="16" t="n">
        <v>0</v>
      </c>
      <c r="R336" s="9" t="inlineStr">
        <is>
          <t>Direct</t>
        </is>
      </c>
      <c r="S336" s="9" t="inlineStr">
        <is>
          <t>Sami Torres</t>
        </is>
      </c>
      <c r="T336" s="9" t="inlineStr">
        <is>
          <t>Open</t>
        </is>
      </c>
      <c r="U336" s="10" t="n">
        <v>358</v>
      </c>
      <c r="V336" s="9" t="inlineStr">
        <is>
          <t>Split shipment</t>
        </is>
      </c>
    </row>
    <row r="337">
      <c r="A337" s="7" t="inlineStr">
        <is>
          <t>AP-32475</t>
        </is>
      </c>
      <c r="B337" s="23" t="n">
        <v>46255</v>
      </c>
      <c r="C337" s="7">
        <f>TEXT(B337,"yyyy-mm")</f>
        <v/>
      </c>
      <c r="D337" s="7" t="inlineStr">
        <is>
          <t>NLG-036</t>
        </is>
      </c>
      <c r="E337" s="9" t="inlineStr">
        <is>
          <t>Northlight Group</t>
        </is>
      </c>
      <c r="F337" s="9" t="inlineStr">
        <is>
          <t>Gulf Coast</t>
        </is>
      </c>
      <c r="G337" s="9" t="inlineStr">
        <is>
          <t>Clearwater</t>
        </is>
      </c>
      <c r="H337" s="9" t="inlineStr">
        <is>
          <t>Meridian Field Kit</t>
        </is>
      </c>
      <c r="I337" s="10" t="n">
        <v>3</v>
      </c>
      <c r="J337" s="16" t="n">
        <v>1240</v>
      </c>
      <c r="K337" s="18" t="n">
        <v>0</v>
      </c>
      <c r="L337" s="16">
        <f>I337*J337</f>
        <v/>
      </c>
      <c r="M337" s="16">
        <f>ROUND(L337*(1-K337),2)</f>
        <v/>
      </c>
      <c r="N337" s="16" t="n">
        <v>806</v>
      </c>
      <c r="O337" s="16">
        <f>I337*N337</f>
        <v/>
      </c>
      <c r="P337" s="18">
        <f>IFERROR((M337-O337)/M337,0)</f>
        <v/>
      </c>
      <c r="Q337" s="16" t="n">
        <v>182.93</v>
      </c>
      <c r="R337" s="9" t="inlineStr">
        <is>
          <t>Partner</t>
        </is>
      </c>
      <c r="S337" s="9" t="inlineStr">
        <is>
          <t>Avery Kellen</t>
        </is>
      </c>
      <c r="T337" s="9" t="inlineStr">
        <is>
          <t>Open</t>
        </is>
      </c>
      <c r="U337" s="10" t="n">
        <v>359</v>
      </c>
      <c r="V337" s="9" t="inlineStr">
        <is>
          <t>PO on file</t>
        </is>
      </c>
    </row>
    <row r="338">
      <c r="A338" s="7" t="inlineStr">
        <is>
          <t>AP-32478</t>
        </is>
      </c>
      <c r="B338" s="23" t="n">
        <v>46237</v>
      </c>
      <c r="C338" s="7">
        <f>TEXT(B338,"yyyy-mm")</f>
        <v/>
      </c>
      <c r="D338" s="7" t="inlineStr">
        <is>
          <t>NLG-014</t>
        </is>
      </c>
      <c r="E338" s="9" t="inlineStr">
        <is>
          <t>Northlight Group</t>
        </is>
      </c>
      <c r="F338" s="9" t="inlineStr">
        <is>
          <t>Gulf Coast</t>
        </is>
      </c>
      <c r="G338" s="9" t="inlineStr">
        <is>
          <t>St. Petersburg</t>
        </is>
      </c>
      <c r="H338" s="9" t="inlineStr">
        <is>
          <t>Calibration service</t>
        </is>
      </c>
      <c r="I338" s="10" t="n">
        <v>2</v>
      </c>
      <c r="J338" s="16" t="n">
        <v>180</v>
      </c>
      <c r="K338" s="18" t="n">
        <v>0.08</v>
      </c>
      <c r="L338" s="16">
        <f>I338*J338</f>
        <v/>
      </c>
      <c r="M338" s="16">
        <f>ROUND(L338*(1-K338),2)</f>
        <v/>
      </c>
      <c r="N338" s="16" t="n">
        <v>99</v>
      </c>
      <c r="O338" s="16">
        <f>I338*N338</f>
        <v/>
      </c>
      <c r="P338" s="18">
        <f>IFERROR((M338-O338)/M338,0)</f>
        <v/>
      </c>
      <c r="Q338" s="16" t="n">
        <v>0</v>
      </c>
      <c r="R338" s="9" t="inlineStr">
        <is>
          <t>Partner</t>
        </is>
      </c>
      <c r="S338" s="9" t="inlineStr">
        <is>
          <t>Morgan Reyes</t>
        </is>
      </c>
      <c r="T338" s="9" t="inlineStr">
        <is>
          <t>Invoiced</t>
        </is>
      </c>
      <c r="U338" s="10" t="n">
        <v>360</v>
      </c>
      <c r="V338" s="9" t="inlineStr">
        <is>
          <t>Rush requested</t>
        </is>
      </c>
    </row>
    <row r="339">
      <c r="A339" s="7" t="inlineStr">
        <is>
          <t>AP-32496</t>
        </is>
      </c>
      <c r="B339" s="23" t="n">
        <v>46277</v>
      </c>
      <c r="C339" s="7">
        <f>TEXT(B339,"yyyy-mm")</f>
        <v/>
      </c>
      <c r="D339" s="7" t="inlineStr">
        <is>
          <t>NLG-036</t>
        </is>
      </c>
      <c r="E339" s="9" t="inlineStr">
        <is>
          <t>Northlight Group</t>
        </is>
      </c>
      <c r="F339" s="9" t="inlineStr">
        <is>
          <t>Gulf Coast</t>
        </is>
      </c>
      <c r="G339" s="9" t="inlineStr">
        <is>
          <t>Clearwater</t>
        </is>
      </c>
      <c r="H339" s="9" t="inlineStr">
        <is>
          <t>Atlas Care Plus</t>
        </is>
      </c>
      <c r="I339" s="10" t="n">
        <v>4</v>
      </c>
      <c r="J339" s="16" t="n">
        <v>1788</v>
      </c>
      <c r="K339" s="18" t="n">
        <v>0.08</v>
      </c>
      <c r="L339" s="16">
        <f>I339*J339</f>
        <v/>
      </c>
      <c r="M339" s="16">
        <f>ROUND(L339*(1-K339),2)</f>
        <v/>
      </c>
      <c r="N339" s="16" t="n">
        <v>447</v>
      </c>
      <c r="O339" s="16">
        <f>I339*N339</f>
        <v/>
      </c>
      <c r="P339" s="18">
        <f>IFERROR((M339-O339)/M339,0)</f>
        <v/>
      </c>
      <c r="Q339" s="16" t="n">
        <v>0</v>
      </c>
      <c r="R339" s="9" t="inlineStr">
        <is>
          <t>Partner</t>
        </is>
      </c>
      <c r="S339" s="9" t="inlineStr">
        <is>
          <t>Avery Kellen</t>
        </is>
      </c>
      <c r="T339" s="9" t="inlineStr">
        <is>
          <t>Invoiced</t>
        </is>
      </c>
      <c r="U339" s="10" t="n">
        <v>362</v>
      </c>
      <c r="V339" s="9" t="inlineStr"/>
    </row>
    <row r="340">
      <c r="A340" s="7" t="inlineStr">
        <is>
          <t>AP-32501</t>
        </is>
      </c>
      <c r="B340" s="23" t="n">
        <v>46295</v>
      </c>
      <c r="C340" s="7">
        <f>TEXT(B340,"yyyy-mm")</f>
        <v/>
      </c>
      <c r="D340" s="7" t="inlineStr">
        <is>
          <t>NLG-014</t>
        </is>
      </c>
      <c r="E340" s="9" t="inlineStr">
        <is>
          <t>Northlight Group</t>
        </is>
      </c>
      <c r="F340" s="9" t="inlineStr">
        <is>
          <t>Gulf Coast</t>
        </is>
      </c>
      <c r="G340" s="9" t="inlineStr">
        <is>
          <t>St. Petersburg</t>
        </is>
      </c>
      <c r="H340" s="9" t="inlineStr">
        <is>
          <t>Atlas Care Plus</t>
        </is>
      </c>
      <c r="I340" s="10" t="n">
        <v>3</v>
      </c>
      <c r="J340" s="16" t="n">
        <v>1788</v>
      </c>
      <c r="K340" s="18" t="n">
        <v>0</v>
      </c>
      <c r="L340" s="16">
        <f>I340*J340</f>
        <v/>
      </c>
      <c r="M340" s="16">
        <f>ROUND(L340*(1-K340),2)</f>
        <v/>
      </c>
      <c r="N340" s="16" t="n">
        <v>447</v>
      </c>
      <c r="O340" s="16">
        <f>I340*N340</f>
        <v/>
      </c>
      <c r="P340" s="18">
        <f>IFERROR((M340-O340)/M340,0)</f>
        <v/>
      </c>
      <c r="Q340" s="16" t="n">
        <v>0</v>
      </c>
      <c r="R340" s="9" t="inlineStr">
        <is>
          <t>Partner</t>
        </is>
      </c>
      <c r="S340" s="9" t="inlineStr">
        <is>
          <t>Morgan Reyes</t>
        </is>
      </c>
      <c r="T340" s="9" t="inlineStr">
        <is>
          <t>Shipped</t>
        </is>
      </c>
      <c r="U340" s="10" t="n">
        <v>363</v>
      </c>
      <c r="V340" s="9" t="inlineStr">
        <is>
          <t>Backorder cleared</t>
        </is>
      </c>
    </row>
    <row r="341">
      <c r="A341" s="7" t="inlineStr">
        <is>
          <t>AP-32508</t>
        </is>
      </c>
      <c r="B341" s="23" t="n">
        <v>46285</v>
      </c>
      <c r="C341" s="7">
        <f>TEXT(B341,"yyyy-mm")</f>
        <v/>
      </c>
      <c r="D341" s="7" t="inlineStr">
        <is>
          <t>NLG-022</t>
        </is>
      </c>
      <c r="E341" s="9" t="inlineStr">
        <is>
          <t>Northlight Group</t>
        </is>
      </c>
      <c r="F341" s="9" t="inlineStr">
        <is>
          <t>Central Florida</t>
        </is>
      </c>
      <c r="G341" s="9" t="inlineStr">
        <is>
          <t>Orlando</t>
        </is>
      </c>
      <c r="H341" s="9" t="inlineStr">
        <is>
          <t>Atlas Care Plus</t>
        </is>
      </c>
      <c r="I341" s="10" t="n">
        <v>12</v>
      </c>
      <c r="J341" s="16" t="n">
        <v>1788</v>
      </c>
      <c r="K341" s="18" t="n">
        <v>0.05</v>
      </c>
      <c r="L341" s="16">
        <f>I341*J341</f>
        <v/>
      </c>
      <c r="M341" s="16">
        <f>ROUND(L341*(1-K341),2)</f>
        <v/>
      </c>
      <c r="N341" s="16" t="n">
        <v>447</v>
      </c>
      <c r="O341" s="16">
        <f>I341*N341</f>
        <v/>
      </c>
      <c r="P341" s="18">
        <f>IFERROR((M341-O341)/M341,0)</f>
        <v/>
      </c>
      <c r="Q341" s="16" t="n">
        <v>0</v>
      </c>
      <c r="R341" s="9" t="inlineStr">
        <is>
          <t>Partner</t>
        </is>
      </c>
      <c r="S341" s="9" t="inlineStr">
        <is>
          <t>Avery Kellen</t>
        </is>
      </c>
      <c r="T341" s="9" t="inlineStr">
        <is>
          <t>Invoiced</t>
        </is>
      </c>
      <c r="U341" s="10" t="n">
        <v>364</v>
      </c>
      <c r="V341" s="9" t="inlineStr">
        <is>
          <t>Ship with calibration cert</t>
        </is>
      </c>
    </row>
    <row r="342">
      <c r="A342" s="7" t="inlineStr">
        <is>
          <t>AP-32515</t>
        </is>
      </c>
      <c r="B342" s="23" t="n">
        <v>46237</v>
      </c>
      <c r="C342" s="7">
        <f>TEXT(B342,"yyyy-mm")</f>
        <v/>
      </c>
      <c r="D342" s="7" t="inlineStr">
        <is>
          <t>DIR-000</t>
        </is>
      </c>
      <c r="E342" s="9" t="inlineStr">
        <is>
          <t>Apex Instruments direct</t>
        </is>
      </c>
      <c r="F342" s="9" t="inlineStr">
        <is>
          <t>House</t>
        </is>
      </c>
      <c r="G342" s="9" t="inlineStr">
        <is>
          <t>Tampa</t>
        </is>
      </c>
      <c r="H342" s="9" t="inlineStr">
        <is>
          <t>On-site training</t>
        </is>
      </c>
      <c r="I342" s="10" t="n">
        <v>3</v>
      </c>
      <c r="J342" s="16" t="n">
        <v>650</v>
      </c>
      <c r="K342" s="18" t="n">
        <v>0.05</v>
      </c>
      <c r="L342" s="16">
        <f>I342*J342</f>
        <v/>
      </c>
      <c r="M342" s="16">
        <f>ROUND(L342*(1-K342),2)</f>
        <v/>
      </c>
      <c r="N342" s="16" t="n">
        <v>429</v>
      </c>
      <c r="O342" s="16">
        <f>I342*N342</f>
        <v/>
      </c>
      <c r="P342" s="18">
        <f>IFERROR((M342-O342)/M342,0)</f>
        <v/>
      </c>
      <c r="Q342" s="16" t="n">
        <v>0</v>
      </c>
      <c r="R342" s="9" t="inlineStr">
        <is>
          <t>Direct</t>
        </is>
      </c>
      <c r="S342" s="9" t="inlineStr">
        <is>
          <t>Sami Torres</t>
        </is>
      </c>
      <c r="T342" s="9" t="inlineStr">
        <is>
          <t>Shipped</t>
        </is>
      </c>
      <c r="U342" s="10" t="n">
        <v>365</v>
      </c>
      <c r="V342" s="9" t="inlineStr">
        <is>
          <t>PO on file</t>
        </is>
      </c>
    </row>
    <row r="343">
      <c r="A343" s="7" t="inlineStr">
        <is>
          <t>AP-32521</t>
        </is>
      </c>
      <c r="B343" s="23" t="n">
        <v>46274</v>
      </c>
      <c r="C343" s="7">
        <f>TEXT(B343,"yyyy-mm")</f>
        <v/>
      </c>
      <c r="D343" s="7" t="inlineStr">
        <is>
          <t>NLG-044</t>
        </is>
      </c>
      <c r="E343" s="9" t="inlineStr">
        <is>
          <t>Northlight Group</t>
        </is>
      </c>
      <c r="F343" s="9" t="inlineStr">
        <is>
          <t>Central Florida</t>
        </is>
      </c>
      <c r="G343" s="9" t="inlineStr">
        <is>
          <t>Brandon</t>
        </is>
      </c>
      <c r="H343" s="9" t="inlineStr">
        <is>
          <t>Calibration service</t>
        </is>
      </c>
      <c r="I343" s="10" t="n">
        <v>5</v>
      </c>
      <c r="J343" s="16" t="n">
        <v>180</v>
      </c>
      <c r="K343" s="18" t="n">
        <v>0</v>
      </c>
      <c r="L343" s="16">
        <f>I343*J343</f>
        <v/>
      </c>
      <c r="M343" s="16">
        <f>ROUND(L343*(1-K343),2)</f>
        <v/>
      </c>
      <c r="N343" s="16" t="n">
        <v>99</v>
      </c>
      <c r="O343" s="16">
        <f>I343*N343</f>
        <v/>
      </c>
      <c r="P343" s="18">
        <f>IFERROR((M343-O343)/M343,0)</f>
        <v/>
      </c>
      <c r="Q343" s="16" t="n">
        <v>0</v>
      </c>
      <c r="R343" s="9" t="inlineStr">
        <is>
          <t>Partner</t>
        </is>
      </c>
      <c r="S343" s="9" t="inlineStr">
        <is>
          <t>Morgan Reyes</t>
        </is>
      </c>
      <c r="T343" s="9" t="inlineStr">
        <is>
          <t>Invoiced</t>
        </is>
      </c>
      <c r="U343" s="10" t="n">
        <v>366</v>
      </c>
      <c r="V343" s="9" t="inlineStr"/>
    </row>
    <row r="344">
      <c r="A344" s="7" t="inlineStr">
        <is>
          <t>AP-32529</t>
        </is>
      </c>
      <c r="B344" s="23" t="n">
        <v>46232</v>
      </c>
      <c r="C344" s="7">
        <f>TEXT(B344,"yyyy-mm")</f>
        <v/>
      </c>
      <c r="D344" s="7" t="inlineStr">
        <is>
          <t>NLG-022</t>
        </is>
      </c>
      <c r="E344" s="9" t="inlineStr">
        <is>
          <t>Northlight Group</t>
        </is>
      </c>
      <c r="F344" s="9" t="inlineStr">
        <is>
          <t>Central Florida</t>
        </is>
      </c>
      <c r="G344" s="9" t="inlineStr">
        <is>
          <t>Orlando</t>
        </is>
      </c>
      <c r="H344" s="9" t="inlineStr">
        <is>
          <t>On-site training</t>
        </is>
      </c>
      <c r="I344" s="10" t="n">
        <v>2</v>
      </c>
      <c r="J344" s="16" t="n">
        <v>650</v>
      </c>
      <c r="K344" s="18" t="n">
        <v>0.05</v>
      </c>
      <c r="L344" s="16">
        <f>I344*J344</f>
        <v/>
      </c>
      <c r="M344" s="16">
        <f>ROUND(L344*(1-K344),2)</f>
        <v/>
      </c>
      <c r="N344" s="16" t="n">
        <v>429</v>
      </c>
      <c r="O344" s="16">
        <f>I344*N344</f>
        <v/>
      </c>
      <c r="P344" s="18">
        <f>IFERROR((M344-O344)/M344,0)</f>
        <v/>
      </c>
      <c r="Q344" s="16" t="n">
        <v>0</v>
      </c>
      <c r="R344" s="9" t="inlineStr">
        <is>
          <t>Partner</t>
        </is>
      </c>
      <c r="S344" s="9" t="inlineStr">
        <is>
          <t>Morgan Reyes</t>
        </is>
      </c>
      <c r="T344" s="9" t="inlineStr">
        <is>
          <t>Shipped</t>
        </is>
      </c>
      <c r="U344" s="10" t="n">
        <v>367</v>
      </c>
      <c r="V344" s="9" t="inlineStr">
        <is>
          <t>Quote 2026-Q3 pricing</t>
        </is>
      </c>
    </row>
    <row r="345">
      <c r="A345" s="7" t="inlineStr">
        <is>
          <t>AP-32538</t>
        </is>
      </c>
      <c r="B345" s="23" t="n">
        <v>46240</v>
      </c>
      <c r="C345" s="7">
        <f>TEXT(B345,"yyyy-mm")</f>
        <v/>
      </c>
      <c r="D345" s="7" t="inlineStr">
        <is>
          <t>DIR-000</t>
        </is>
      </c>
      <c r="E345" s="9" t="inlineStr">
        <is>
          <t>Apex Instruments direct</t>
        </is>
      </c>
      <c r="F345" s="9" t="inlineStr">
        <is>
          <t>House</t>
        </is>
      </c>
      <c r="G345" s="9" t="inlineStr">
        <is>
          <t>Tampa</t>
        </is>
      </c>
      <c r="H345" s="9" t="inlineStr">
        <is>
          <t>Meridian Bench</t>
        </is>
      </c>
      <c r="I345" s="10" t="n">
        <v>2</v>
      </c>
      <c r="J345" s="16" t="n">
        <v>4850</v>
      </c>
      <c r="K345" s="18" t="n">
        <v>0</v>
      </c>
      <c r="L345" s="16">
        <f>I345*J345</f>
        <v/>
      </c>
      <c r="M345" s="16">
        <f>ROUND(L345*(1-K345),2)</f>
        <v/>
      </c>
      <c r="N345" s="16" t="n">
        <v>2910</v>
      </c>
      <c r="O345" s="16">
        <f>I345*N345</f>
        <v/>
      </c>
      <c r="P345" s="18">
        <f>IFERROR((M345-O345)/M345,0)</f>
        <v/>
      </c>
      <c r="Q345" s="16" t="n">
        <v>115.52</v>
      </c>
      <c r="R345" s="9" t="inlineStr">
        <is>
          <t>Direct</t>
        </is>
      </c>
      <c r="S345" s="9" t="inlineStr">
        <is>
          <t>Jordan Vale</t>
        </is>
      </c>
      <c r="T345" s="9" t="inlineStr">
        <is>
          <t>Shipped</t>
        </is>
      </c>
      <c r="U345" s="10" t="n">
        <v>368</v>
      </c>
      <c r="V345" s="9" t="inlineStr">
        <is>
          <t>PO on file</t>
        </is>
      </c>
    </row>
    <row r="346">
      <c r="A346" s="7" t="inlineStr">
        <is>
          <t>AP-32545</t>
        </is>
      </c>
      <c r="B346" s="23" t="n">
        <v>46276</v>
      </c>
      <c r="C346" s="7">
        <f>TEXT(B346,"yyyy-mm")</f>
        <v/>
      </c>
      <c r="D346" s="7" t="inlineStr">
        <is>
          <t>DIR-000</t>
        </is>
      </c>
      <c r="E346" s="9" t="inlineStr">
        <is>
          <t>Apex Instruments direct</t>
        </is>
      </c>
      <c r="F346" s="9" t="inlineStr">
        <is>
          <t>House</t>
        </is>
      </c>
      <c r="G346" s="9" t="inlineStr">
        <is>
          <t>Tampa</t>
        </is>
      </c>
      <c r="H346" s="9" t="inlineStr">
        <is>
          <t>Meridian Pro</t>
        </is>
      </c>
      <c r="I346" s="10" t="n">
        <v>2</v>
      </c>
      <c r="J346" s="16" t="n">
        <v>7900</v>
      </c>
      <c r="K346" s="18" t="n">
        <v>0</v>
      </c>
      <c r="L346" s="16">
        <f>I346*J346</f>
        <v/>
      </c>
      <c r="M346" s="16">
        <f>ROUND(L346*(1-K346),2)</f>
        <v/>
      </c>
      <c r="N346" s="16" t="n">
        <v>4345</v>
      </c>
      <c r="O346" s="16">
        <f>I346*N346</f>
        <v/>
      </c>
      <c r="P346" s="18">
        <f>IFERROR((M346-O346)/M346,0)</f>
        <v/>
      </c>
      <c r="Q346" s="16" t="n">
        <v>0</v>
      </c>
      <c r="R346" s="9" t="inlineStr">
        <is>
          <t>Direct</t>
        </is>
      </c>
      <c r="S346" s="9" t="inlineStr">
        <is>
          <t>Avery Kellen</t>
        </is>
      </c>
      <c r="T346" s="9" t="inlineStr">
        <is>
          <t>Open</t>
        </is>
      </c>
      <c r="U346" s="10" t="n">
        <v>369</v>
      </c>
      <c r="V346" s="9" t="inlineStr"/>
    </row>
    <row r="347">
      <c r="A347" s="7" t="inlineStr">
        <is>
          <t>AP-32549</t>
        </is>
      </c>
      <c r="B347" s="23" t="n">
        <v>46272</v>
      </c>
      <c r="C347" s="7">
        <f>TEXT(B347,"yyyy-mm")</f>
        <v/>
      </c>
      <c r="D347" s="7" t="inlineStr">
        <is>
          <t>NLG-022</t>
        </is>
      </c>
      <c r="E347" s="9" t="inlineStr">
        <is>
          <t>Northlight Group</t>
        </is>
      </c>
      <c r="F347" s="9" t="inlineStr">
        <is>
          <t>Central Florida</t>
        </is>
      </c>
      <c r="G347" s="9" t="inlineStr">
        <is>
          <t>Orlando</t>
        </is>
      </c>
      <c r="H347" s="9" t="inlineStr">
        <is>
          <t>Meridian Bench</t>
        </is>
      </c>
      <c r="I347" s="10" t="n">
        <v>1</v>
      </c>
      <c r="J347" s="16" t="n">
        <v>4850</v>
      </c>
      <c r="K347" s="18" t="n">
        <v>0.05</v>
      </c>
      <c r="L347" s="16">
        <f>I347*J347</f>
        <v/>
      </c>
      <c r="M347" s="16">
        <f>ROUND(L347*(1-K347),2)</f>
        <v/>
      </c>
      <c r="N347" s="16" t="n">
        <v>2910</v>
      </c>
      <c r="O347" s="16">
        <f>I347*N347</f>
        <v/>
      </c>
      <c r="P347" s="18">
        <f>IFERROR((M347-O347)/M347,0)</f>
        <v/>
      </c>
      <c r="Q347" s="16" t="n">
        <v>176.14</v>
      </c>
      <c r="R347" s="9" t="inlineStr">
        <is>
          <t>Partner</t>
        </is>
      </c>
      <c r="S347" s="9" t="inlineStr">
        <is>
          <t>Avery Kellen</t>
        </is>
      </c>
      <c r="T347" s="9" t="inlineStr">
        <is>
          <t>Invoiced</t>
        </is>
      </c>
      <c r="U347" s="10" t="n">
        <v>370</v>
      </c>
      <c r="V347" s="9" t="inlineStr"/>
    </row>
    <row r="348">
      <c r="A348" s="7" t="inlineStr">
        <is>
          <t>AP-32559</t>
        </is>
      </c>
      <c r="B348" s="23" t="n">
        <v>46234</v>
      </c>
      <c r="C348" s="7">
        <f>TEXT(B348,"yyyy-mm")</f>
        <v/>
      </c>
      <c r="D348" s="7" t="inlineStr">
        <is>
          <t>NLG-031</t>
        </is>
      </c>
      <c r="E348" s="9" t="inlineStr">
        <is>
          <t>Northlight Group</t>
        </is>
      </c>
      <c r="F348" s="9" t="inlineStr">
        <is>
          <t>Gulf Coast</t>
        </is>
      </c>
      <c r="G348" s="9" t="inlineStr">
        <is>
          <t>Sarasota</t>
        </is>
      </c>
      <c r="H348" s="9" t="inlineStr">
        <is>
          <t>On-site training</t>
        </is>
      </c>
      <c r="I348" s="10" t="n">
        <v>3</v>
      </c>
      <c r="J348" s="16" t="n">
        <v>650</v>
      </c>
      <c r="K348" s="18" t="n">
        <v>0.1</v>
      </c>
      <c r="L348" s="16">
        <f>I348*J348</f>
        <v/>
      </c>
      <c r="M348" s="16">
        <f>ROUND(L348*(1-K348),2)</f>
        <v/>
      </c>
      <c r="N348" s="16" t="n">
        <v>429</v>
      </c>
      <c r="O348" s="16">
        <f>I348*N348</f>
        <v/>
      </c>
      <c r="P348" s="18">
        <f>IFERROR((M348-O348)/M348,0)</f>
        <v/>
      </c>
      <c r="Q348" s="16" t="n">
        <v>0</v>
      </c>
      <c r="R348" s="9" t="inlineStr">
        <is>
          <t>Partner</t>
        </is>
      </c>
      <c r="S348" s="9" t="inlineStr">
        <is>
          <t>Sami Torres</t>
        </is>
      </c>
      <c r="T348" s="9" t="inlineStr">
        <is>
          <t>Invoiced</t>
        </is>
      </c>
      <c r="U348" s="10" t="n">
        <v>371</v>
      </c>
      <c r="V348" s="9" t="inlineStr">
        <is>
          <t>Quote 2026-Q3 pricing</t>
        </is>
      </c>
    </row>
    <row r="349">
      <c r="A349" s="7" t="inlineStr">
        <is>
          <t>AP-32562</t>
        </is>
      </c>
      <c r="B349" s="23" t="n">
        <v>46253</v>
      </c>
      <c r="C349" s="7">
        <f>TEXT(B349,"yyyy-mm")</f>
        <v/>
      </c>
      <c r="D349" s="7" t="inlineStr">
        <is>
          <t>DIR-000</t>
        </is>
      </c>
      <c r="E349" s="9" t="inlineStr">
        <is>
          <t>Apex Instruments direct</t>
        </is>
      </c>
      <c r="F349" s="9" t="inlineStr">
        <is>
          <t>House</t>
        </is>
      </c>
      <c r="G349" s="9" t="inlineStr">
        <is>
          <t>Tampa</t>
        </is>
      </c>
      <c r="H349" s="9" t="inlineStr">
        <is>
          <t>Meridian Bench</t>
        </is>
      </c>
      <c r="I349" s="10" t="n">
        <v>3</v>
      </c>
      <c r="J349" s="16" t="n">
        <v>4850</v>
      </c>
      <c r="K349" s="18" t="n">
        <v>0</v>
      </c>
      <c r="L349" s="16">
        <f>I349*J349</f>
        <v/>
      </c>
      <c r="M349" s="16">
        <f>ROUND(L349*(1-K349),2)</f>
        <v/>
      </c>
      <c r="N349" s="16" t="n">
        <v>2910</v>
      </c>
      <c r="O349" s="16">
        <f>I349*N349</f>
        <v/>
      </c>
      <c r="P349" s="18">
        <f>IFERROR((M349-O349)/M349,0)</f>
        <v/>
      </c>
      <c r="Q349" s="16" t="n">
        <v>163.58</v>
      </c>
      <c r="R349" s="9" t="inlineStr">
        <is>
          <t>Direct</t>
        </is>
      </c>
      <c r="S349" s="9" t="inlineStr">
        <is>
          <t>Avery Kellen</t>
        </is>
      </c>
      <c r="T349" s="9" t="inlineStr">
        <is>
          <t>Invoiced</t>
        </is>
      </c>
      <c r="U349" s="10" t="n">
        <v>372</v>
      </c>
      <c r="V349" s="9" t="inlineStr">
        <is>
          <t>Partner pickup</t>
        </is>
      </c>
    </row>
    <row r="350">
      <c r="A350" s="7" t="inlineStr">
        <is>
          <t>AP-32573</t>
        </is>
      </c>
      <c r="B350" s="23" t="n">
        <v>46279</v>
      </c>
      <c r="C350" s="7">
        <f>TEXT(B350,"yyyy-mm")</f>
        <v/>
      </c>
      <c r="D350" s="7" t="inlineStr">
        <is>
          <t>DIR-000</t>
        </is>
      </c>
      <c r="E350" s="9" t="inlineStr">
        <is>
          <t>Apex Instruments direct</t>
        </is>
      </c>
      <c r="F350" s="9" t="inlineStr">
        <is>
          <t>House</t>
        </is>
      </c>
      <c r="G350" s="9" t="inlineStr">
        <is>
          <t>Tampa</t>
        </is>
      </c>
      <c r="H350" s="9" t="inlineStr">
        <is>
          <t>Meridian Bench</t>
        </is>
      </c>
      <c r="I350" s="10" t="n">
        <v>1</v>
      </c>
      <c r="J350" s="16" t="n">
        <v>4850</v>
      </c>
      <c r="K350" s="18" t="n">
        <v>0</v>
      </c>
      <c r="L350" s="16">
        <f>I350*J350</f>
        <v/>
      </c>
      <c r="M350" s="16">
        <f>ROUND(L350*(1-K350),2)</f>
        <v/>
      </c>
      <c r="N350" s="16" t="n">
        <v>2910</v>
      </c>
      <c r="O350" s="16">
        <f>I350*N350</f>
        <v/>
      </c>
      <c r="P350" s="18">
        <f>IFERROR((M350-O350)/M350,0)</f>
        <v/>
      </c>
      <c r="Q350" s="16" t="n">
        <v>75.70999999999999</v>
      </c>
      <c r="R350" s="9" t="inlineStr">
        <is>
          <t>Direct</t>
        </is>
      </c>
      <c r="S350" s="9" t="inlineStr">
        <is>
          <t>Avery Kellen</t>
        </is>
      </c>
      <c r="T350" s="9" t="inlineStr">
        <is>
          <t>Shipped</t>
        </is>
      </c>
      <c r="U350" s="10" t="n">
        <v>373</v>
      </c>
      <c r="V350" s="9" t="inlineStr"/>
    </row>
    <row r="351">
      <c r="A351" s="7" t="inlineStr">
        <is>
          <t>AP-32580</t>
        </is>
      </c>
      <c r="B351" s="23" t="n">
        <v>46285</v>
      </c>
      <c r="C351" s="7">
        <f>TEXT(B351,"yyyy-mm")</f>
        <v/>
      </c>
      <c r="D351" s="7" t="inlineStr">
        <is>
          <t>NLG-044</t>
        </is>
      </c>
      <c r="E351" s="9" t="inlineStr">
        <is>
          <t>Northlight Group</t>
        </is>
      </c>
      <c r="F351" s="9" t="inlineStr">
        <is>
          <t>Central Florida</t>
        </is>
      </c>
      <c r="G351" s="9" t="inlineStr">
        <is>
          <t>Brandon</t>
        </is>
      </c>
      <c r="H351" s="9" t="inlineStr">
        <is>
          <t>Atlas Care Plus</t>
        </is>
      </c>
      <c r="I351" s="10" t="n">
        <v>6</v>
      </c>
      <c r="J351" s="16" t="n">
        <v>1788</v>
      </c>
      <c r="K351" s="18" t="n">
        <v>0.15</v>
      </c>
      <c r="L351" s="16">
        <f>I351*J351</f>
        <v/>
      </c>
      <c r="M351" s="16">
        <f>ROUND(L351*(1-K351),2)</f>
        <v/>
      </c>
      <c r="N351" s="16" t="n">
        <v>447</v>
      </c>
      <c r="O351" s="16">
        <f>I351*N351</f>
        <v/>
      </c>
      <c r="P351" s="18">
        <f>IFERROR((M351-O351)/M351,0)</f>
        <v/>
      </c>
      <c r="Q351" s="16" t="n">
        <v>0</v>
      </c>
      <c r="R351" s="9" t="inlineStr">
        <is>
          <t>Partner</t>
        </is>
      </c>
      <c r="S351" s="9" t="inlineStr">
        <is>
          <t>Sami Torres</t>
        </is>
      </c>
      <c r="T351" s="9" t="inlineStr">
        <is>
          <t>Invoiced</t>
        </is>
      </c>
      <c r="U351" s="10" t="n">
        <v>374</v>
      </c>
      <c r="V351" s="9" t="inlineStr">
        <is>
          <t>Renewal</t>
        </is>
      </c>
    </row>
    <row r="352">
      <c r="A352" s="7" t="inlineStr">
        <is>
          <t>AP-32584</t>
        </is>
      </c>
      <c r="B352" s="23" t="n">
        <v>46243</v>
      </c>
      <c r="C352" s="7">
        <f>TEXT(B352,"yyyy-mm")</f>
        <v/>
      </c>
      <c r="D352" s="7" t="inlineStr">
        <is>
          <t>DIR-000</t>
        </is>
      </c>
      <c r="E352" s="9" t="inlineStr">
        <is>
          <t>Apex Instruments direct</t>
        </is>
      </c>
      <c r="F352" s="9" t="inlineStr">
        <is>
          <t>House</t>
        </is>
      </c>
      <c r="G352" s="9" t="inlineStr">
        <is>
          <t>Tampa</t>
        </is>
      </c>
      <c r="H352" s="9" t="inlineStr">
        <is>
          <t>Meridian Bench</t>
        </is>
      </c>
      <c r="I352" s="10" t="n">
        <v>2</v>
      </c>
      <c r="J352" s="16" t="n">
        <v>4850</v>
      </c>
      <c r="K352" s="18" t="n">
        <v>0</v>
      </c>
      <c r="L352" s="16">
        <f>I352*J352</f>
        <v/>
      </c>
      <c r="M352" s="16">
        <f>ROUND(L352*(1-K352),2)</f>
        <v/>
      </c>
      <c r="N352" s="16" t="n">
        <v>2910</v>
      </c>
      <c r="O352" s="16">
        <f>I352*N352</f>
        <v/>
      </c>
      <c r="P352" s="18">
        <f>IFERROR((M352-O352)/M352,0)</f>
        <v/>
      </c>
      <c r="Q352" s="16" t="n">
        <v>0</v>
      </c>
      <c r="R352" s="9" t="inlineStr">
        <is>
          <t>Direct</t>
        </is>
      </c>
      <c r="S352" s="9" t="inlineStr">
        <is>
          <t>Morgan Reyes</t>
        </is>
      </c>
      <c r="T352" s="9" t="inlineStr">
        <is>
          <t>Shipped</t>
        </is>
      </c>
      <c r="U352" s="10" t="n">
        <v>375</v>
      </c>
      <c r="V352" s="9" t="inlineStr">
        <is>
          <t>Ship with calibration cert</t>
        </is>
      </c>
    </row>
    <row r="353">
      <c r="A353" s="7" t="inlineStr">
        <is>
          <t>AP-32593</t>
        </is>
      </c>
      <c r="B353" s="23" t="n">
        <v>46273</v>
      </c>
      <c r="C353" s="7">
        <f>TEXT(B353,"yyyy-mm")</f>
        <v/>
      </c>
      <c r="D353" s="7" t="inlineStr">
        <is>
          <t>NLG-044</t>
        </is>
      </c>
      <c r="E353" s="9" t="inlineStr">
        <is>
          <t>Northlight Group</t>
        </is>
      </c>
      <c r="F353" s="9" t="inlineStr">
        <is>
          <t>Central Florida</t>
        </is>
      </c>
      <c r="G353" s="9" t="inlineStr">
        <is>
          <t>Brandon</t>
        </is>
      </c>
      <c r="H353" s="9" t="inlineStr">
        <is>
          <t>Meridian Pro</t>
        </is>
      </c>
      <c r="I353" s="10" t="n">
        <v>1</v>
      </c>
      <c r="J353" s="16" t="n">
        <v>7900</v>
      </c>
      <c r="K353" s="18" t="n">
        <v>0</v>
      </c>
      <c r="L353" s="16">
        <f>I353*J353</f>
        <v/>
      </c>
      <c r="M353" s="16">
        <f>ROUND(L353*(1-K353),2)</f>
        <v/>
      </c>
      <c r="N353" s="16" t="n">
        <v>4345</v>
      </c>
      <c r="O353" s="16">
        <f>I353*N353</f>
        <v/>
      </c>
      <c r="P353" s="18">
        <f>IFERROR((M353-O353)/M353,0)</f>
        <v/>
      </c>
      <c r="Q353" s="16" t="n">
        <v>0</v>
      </c>
      <c r="R353" s="9" t="inlineStr">
        <is>
          <t>Partner</t>
        </is>
      </c>
      <c r="S353" s="9" t="inlineStr">
        <is>
          <t>Sami Torres</t>
        </is>
      </c>
      <c r="T353" s="9" t="inlineStr">
        <is>
          <t>Open</t>
        </is>
      </c>
      <c r="U353" s="10" t="n">
        <v>376</v>
      </c>
      <c r="V353" s="9" t="inlineStr">
        <is>
          <t>Rush requested</t>
        </is>
      </c>
    </row>
    <row r="354">
      <c r="A354" s="7" t="inlineStr">
        <is>
          <t>AP-32598</t>
        </is>
      </c>
      <c r="B354" s="23" t="n">
        <v>46211</v>
      </c>
      <c r="C354" s="7">
        <f>TEXT(B354,"yyyy-mm")</f>
        <v/>
      </c>
      <c r="D354" s="7" t="inlineStr">
        <is>
          <t>DIR-000</t>
        </is>
      </c>
      <c r="E354" s="9" t="inlineStr">
        <is>
          <t>Apex Instruments direct</t>
        </is>
      </c>
      <c r="F354" s="9" t="inlineStr">
        <is>
          <t>House</t>
        </is>
      </c>
      <c r="G354" s="9" t="inlineStr">
        <is>
          <t>Tampa</t>
        </is>
      </c>
      <c r="H354" s="9" t="inlineStr">
        <is>
          <t>Meridian Field Kit</t>
        </is>
      </c>
      <c r="I354" s="10" t="n">
        <v>2</v>
      </c>
      <c r="J354" s="16" t="n">
        <v>1240</v>
      </c>
      <c r="K354" s="18" t="n">
        <v>0</v>
      </c>
      <c r="L354" s="16">
        <f>I354*J354</f>
        <v/>
      </c>
      <c r="M354" s="16">
        <f>ROUND(L354*(1-K354),2)</f>
        <v/>
      </c>
      <c r="N354" s="16" t="n">
        <v>806</v>
      </c>
      <c r="O354" s="16">
        <f>I354*N354</f>
        <v/>
      </c>
      <c r="P354" s="18">
        <f>IFERROR((M354-O354)/M354,0)</f>
        <v/>
      </c>
      <c r="Q354" s="16" t="n">
        <v>66.44</v>
      </c>
      <c r="R354" s="9" t="inlineStr">
        <is>
          <t>Direct</t>
        </is>
      </c>
      <c r="S354" s="9" t="inlineStr">
        <is>
          <t>Avery Kellen</t>
        </is>
      </c>
      <c r="T354" s="9" t="inlineStr">
        <is>
          <t>Shipped</t>
        </is>
      </c>
      <c r="U354" s="10" t="n">
        <v>377</v>
      </c>
      <c r="V354" s="9" t="inlineStr">
        <is>
          <t>Backorder cleared</t>
        </is>
      </c>
    </row>
    <row r="355">
      <c r="A355" s="7" t="inlineStr">
        <is>
          <t>AP-32608</t>
        </is>
      </c>
      <c r="B355" s="23" t="n">
        <v>46285</v>
      </c>
      <c r="C355" s="7">
        <f>TEXT(B355,"yyyy-mm")</f>
        <v/>
      </c>
      <c r="D355" s="7" t="inlineStr">
        <is>
          <t>NLG-014</t>
        </is>
      </c>
      <c r="E355" s="9" t="inlineStr">
        <is>
          <t>Northlight Group</t>
        </is>
      </c>
      <c r="F355" s="9" t="inlineStr">
        <is>
          <t>Gulf Coast</t>
        </is>
      </c>
      <c r="G355" s="9" t="inlineStr">
        <is>
          <t>St. Petersburg</t>
        </is>
      </c>
      <c r="H355" s="9" t="inlineStr">
        <is>
          <t>Calibration service</t>
        </is>
      </c>
      <c r="I355" s="10" t="n">
        <v>4</v>
      </c>
      <c r="J355" s="16" t="n">
        <v>180</v>
      </c>
      <c r="K355" s="18" t="n">
        <v>0</v>
      </c>
      <c r="L355" s="16">
        <f>I355*J355</f>
        <v/>
      </c>
      <c r="M355" s="16">
        <f>ROUND(L355*(1-K355),2)</f>
        <v/>
      </c>
      <c r="N355" s="16" t="n">
        <v>99</v>
      </c>
      <c r="O355" s="16">
        <f>I355*N355</f>
        <v/>
      </c>
      <c r="P355" s="18">
        <f>IFERROR((M355-O355)/M355,0)</f>
        <v/>
      </c>
      <c r="Q355" s="16" t="n">
        <v>0</v>
      </c>
      <c r="R355" s="9" t="inlineStr">
        <is>
          <t>Partner</t>
        </is>
      </c>
      <c r="S355" s="9" t="inlineStr">
        <is>
          <t>Jordan Vale</t>
        </is>
      </c>
      <c r="T355" s="9" t="inlineStr">
        <is>
          <t>Shipped</t>
        </is>
      </c>
      <c r="U355" s="10" t="n">
        <v>378</v>
      </c>
      <c r="V355" s="9" t="inlineStr"/>
    </row>
    <row r="356">
      <c r="A356" s="7" t="inlineStr">
        <is>
          <t>AP-32611</t>
        </is>
      </c>
      <c r="B356" s="23" t="n">
        <v>46225</v>
      </c>
      <c r="C356" s="7">
        <f>TEXT(B356,"yyyy-mm")</f>
        <v/>
      </c>
      <c r="D356" s="7" t="inlineStr">
        <is>
          <t>NLG-022</t>
        </is>
      </c>
      <c r="E356" s="9" t="inlineStr">
        <is>
          <t>Northlight Group</t>
        </is>
      </c>
      <c r="F356" s="9" t="inlineStr">
        <is>
          <t>Central Florida</t>
        </is>
      </c>
      <c r="G356" s="9" t="inlineStr">
        <is>
          <t>Orlando</t>
        </is>
      </c>
      <c r="H356" s="9" t="inlineStr">
        <is>
          <t>Meridian Field Kit</t>
        </is>
      </c>
      <c r="I356" s="10" t="n">
        <v>5</v>
      </c>
      <c r="J356" s="16" t="n">
        <v>1240</v>
      </c>
      <c r="K356" s="18" t="n">
        <v>0</v>
      </c>
      <c r="L356" s="16">
        <f>I356*J356</f>
        <v/>
      </c>
      <c r="M356" s="16">
        <f>ROUND(L356*(1-K356),2)</f>
        <v/>
      </c>
      <c r="N356" s="16" t="n">
        <v>806</v>
      </c>
      <c r="O356" s="16">
        <f>I356*N356</f>
        <v/>
      </c>
      <c r="P356" s="18">
        <f>IFERROR((M356-O356)/M356,0)</f>
        <v/>
      </c>
      <c r="Q356" s="16" t="n">
        <v>78.03</v>
      </c>
      <c r="R356" s="9" t="inlineStr">
        <is>
          <t>Partner</t>
        </is>
      </c>
      <c r="S356" s="9" t="inlineStr">
        <is>
          <t>Avery Kellen</t>
        </is>
      </c>
      <c r="T356" s="9" t="inlineStr">
        <is>
          <t>Invoiced</t>
        </is>
      </c>
      <c r="U356" s="10" t="n">
        <v>379</v>
      </c>
      <c r="V356" s="9" t="inlineStr">
        <is>
          <t>Renewal</t>
        </is>
      </c>
    </row>
    <row r="357">
      <c r="A357" s="7" t="inlineStr">
        <is>
          <t>AP-32618</t>
        </is>
      </c>
      <c r="B357" s="23" t="n">
        <v>46260</v>
      </c>
      <c r="C357" s="7">
        <f>TEXT(B357,"yyyy-mm")</f>
        <v/>
      </c>
      <c r="D357" s="7" t="inlineStr">
        <is>
          <t>NLG-022</t>
        </is>
      </c>
      <c r="E357" s="9" t="inlineStr">
        <is>
          <t>Northlight Group</t>
        </is>
      </c>
      <c r="F357" s="9" t="inlineStr">
        <is>
          <t>Central Florida</t>
        </is>
      </c>
      <c r="G357" s="9" t="inlineStr">
        <is>
          <t>Orlando</t>
        </is>
      </c>
      <c r="H357" s="9" t="inlineStr">
        <is>
          <t>Meridian Field Kit</t>
        </is>
      </c>
      <c r="I357" s="10" t="n">
        <v>8</v>
      </c>
      <c r="J357" s="16" t="n">
        <v>1240</v>
      </c>
      <c r="K357" s="18" t="n">
        <v>0.03</v>
      </c>
      <c r="L357" s="16">
        <f>I357*J357</f>
        <v/>
      </c>
      <c r="M357" s="16">
        <f>ROUND(L357*(1-K357),2)</f>
        <v/>
      </c>
      <c r="N357" s="16" t="n">
        <v>806</v>
      </c>
      <c r="O357" s="16">
        <f>I357*N357</f>
        <v/>
      </c>
      <c r="P357" s="18">
        <f>IFERROR((M357-O357)/M357,0)</f>
        <v/>
      </c>
      <c r="Q357" s="16" t="n">
        <v>183.14</v>
      </c>
      <c r="R357" s="9" t="inlineStr">
        <is>
          <t>Partner</t>
        </is>
      </c>
      <c r="S357" s="9" t="inlineStr">
        <is>
          <t>Sami Torres</t>
        </is>
      </c>
      <c r="T357" s="9" t="inlineStr">
        <is>
          <t>Shipped</t>
        </is>
      </c>
      <c r="U357" s="10" t="n">
        <v>380</v>
      </c>
      <c r="V357" s="9" t="inlineStr"/>
    </row>
    <row r="358">
      <c r="A358" s="7" t="inlineStr">
        <is>
          <t>AP-32627</t>
        </is>
      </c>
      <c r="B358" s="23" t="n">
        <v>46210</v>
      </c>
      <c r="C358" s="7">
        <f>TEXT(B358,"yyyy-mm")</f>
        <v/>
      </c>
      <c r="D358" s="7" t="inlineStr">
        <is>
          <t>NLG-014</t>
        </is>
      </c>
      <c r="E358" s="9" t="inlineStr">
        <is>
          <t>Northlight Group</t>
        </is>
      </c>
      <c r="F358" s="9" t="inlineStr">
        <is>
          <t>Gulf Coast</t>
        </is>
      </c>
      <c r="G358" s="9" t="inlineStr">
        <is>
          <t>St. Petersburg</t>
        </is>
      </c>
      <c r="H358" s="9" t="inlineStr">
        <is>
          <t>Atlas Care Plus</t>
        </is>
      </c>
      <c r="I358" s="10" t="n">
        <v>7</v>
      </c>
      <c r="J358" s="16" t="n">
        <v>1788</v>
      </c>
      <c r="K358" s="18" t="n">
        <v>0</v>
      </c>
      <c r="L358" s="16">
        <f>I358*J358</f>
        <v/>
      </c>
      <c r="M358" s="16">
        <f>ROUND(L358*(1-K358),2)</f>
        <v/>
      </c>
      <c r="N358" s="16" t="n">
        <v>447</v>
      </c>
      <c r="O358" s="16">
        <f>I358*N358</f>
        <v/>
      </c>
      <c r="P358" s="18">
        <f>IFERROR((M358-O358)/M358,0)</f>
        <v/>
      </c>
      <c r="Q358" s="16" t="n">
        <v>0</v>
      </c>
      <c r="R358" s="9" t="inlineStr">
        <is>
          <t>Partner</t>
        </is>
      </c>
      <c r="S358" s="9" t="inlineStr">
        <is>
          <t>Avery Kellen</t>
        </is>
      </c>
      <c r="T358" s="9" t="inlineStr">
        <is>
          <t>Invoiced</t>
        </is>
      </c>
      <c r="U358" s="10" t="n">
        <v>381</v>
      </c>
      <c r="V358" s="9" t="inlineStr">
        <is>
          <t>Partner pickup</t>
        </is>
      </c>
    </row>
    <row r="359">
      <c r="A359" s="7" t="inlineStr">
        <is>
          <t>AP-32632</t>
        </is>
      </c>
      <c r="B359" s="23" t="n">
        <v>46267</v>
      </c>
      <c r="C359" s="7">
        <f>TEXT(B359,"yyyy-mm")</f>
        <v/>
      </c>
      <c r="D359" s="7" t="inlineStr">
        <is>
          <t>NLG-022</t>
        </is>
      </c>
      <c r="E359" s="9" t="inlineStr">
        <is>
          <t>Northlight Group</t>
        </is>
      </c>
      <c r="F359" s="9" t="inlineStr">
        <is>
          <t>Central Florida</t>
        </is>
      </c>
      <c r="G359" s="9" t="inlineStr">
        <is>
          <t>Orlando</t>
        </is>
      </c>
      <c r="H359" s="9" t="inlineStr">
        <is>
          <t>Meridian Bench</t>
        </is>
      </c>
      <c r="I359" s="10" t="n">
        <v>1</v>
      </c>
      <c r="J359" s="16" t="n">
        <v>4850</v>
      </c>
      <c r="K359" s="18" t="n">
        <v>0.03</v>
      </c>
      <c r="L359" s="16">
        <f>I359*J359</f>
        <v/>
      </c>
      <c r="M359" s="16">
        <f>ROUND(L359*(1-K359),2)</f>
        <v/>
      </c>
      <c r="N359" s="16" t="n">
        <v>2910</v>
      </c>
      <c r="O359" s="16">
        <f>I359*N359</f>
        <v/>
      </c>
      <c r="P359" s="18">
        <f>IFERROR((M359-O359)/M359,0)</f>
        <v/>
      </c>
      <c r="Q359" s="16" t="n">
        <v>130.42</v>
      </c>
      <c r="R359" s="9" t="inlineStr">
        <is>
          <t>Partner</t>
        </is>
      </c>
      <c r="S359" s="9" t="inlineStr">
        <is>
          <t>Avery Kellen</t>
        </is>
      </c>
      <c r="T359" s="9" t="inlineStr">
        <is>
          <t>Shipped</t>
        </is>
      </c>
      <c r="U359" s="10" t="n">
        <v>382</v>
      </c>
      <c r="V359" s="9" t="inlineStr">
        <is>
          <t>Split shipment</t>
        </is>
      </c>
    </row>
    <row r="360">
      <c r="A360" s="7" t="inlineStr">
        <is>
          <t>AP-32643</t>
        </is>
      </c>
      <c r="B360" s="23" t="n">
        <v>46218</v>
      </c>
      <c r="C360" s="7">
        <f>TEXT(B360,"yyyy-mm")</f>
        <v/>
      </c>
      <c r="D360" s="7" t="inlineStr">
        <is>
          <t>NLG-044</t>
        </is>
      </c>
      <c r="E360" s="9" t="inlineStr">
        <is>
          <t>Northlight Group</t>
        </is>
      </c>
      <c r="F360" s="9" t="inlineStr">
        <is>
          <t>Central Florida</t>
        </is>
      </c>
      <c r="G360" s="9" t="inlineStr">
        <is>
          <t>Brandon</t>
        </is>
      </c>
      <c r="H360" s="9" t="inlineStr">
        <is>
          <t>On-site training</t>
        </is>
      </c>
      <c r="I360" s="10" t="n">
        <v>3</v>
      </c>
      <c r="J360" s="16" t="n">
        <v>650</v>
      </c>
      <c r="K360" s="18" t="n">
        <v>0.05</v>
      </c>
      <c r="L360" s="16">
        <f>I360*J360</f>
        <v/>
      </c>
      <c r="M360" s="16">
        <f>ROUND(L360*(1-K360),2)</f>
        <v/>
      </c>
      <c r="N360" s="16" t="n">
        <v>429</v>
      </c>
      <c r="O360" s="16">
        <f>I360*N360</f>
        <v/>
      </c>
      <c r="P360" s="18">
        <f>IFERROR((M360-O360)/M360,0)</f>
        <v/>
      </c>
      <c r="Q360" s="16" t="n">
        <v>0</v>
      </c>
      <c r="R360" s="9" t="inlineStr">
        <is>
          <t>Partner</t>
        </is>
      </c>
      <c r="S360" s="9" t="inlineStr">
        <is>
          <t>Sami Torres</t>
        </is>
      </c>
      <c r="T360" s="9" t="inlineStr">
        <is>
          <t>Shipped</t>
        </is>
      </c>
      <c r="U360" s="10" t="n">
        <v>383</v>
      </c>
      <c r="V360" s="9" t="inlineStr">
        <is>
          <t>Backorder cleared</t>
        </is>
      </c>
    </row>
    <row r="361">
      <c r="A361" s="7" t="inlineStr">
        <is>
          <t>AP-32647</t>
        </is>
      </c>
      <c r="B361" s="23" t="n">
        <v>46282</v>
      </c>
      <c r="C361" s="7">
        <f>TEXT(B361,"yyyy-mm")</f>
        <v/>
      </c>
      <c r="D361" s="7" t="inlineStr">
        <is>
          <t>NLG-036</t>
        </is>
      </c>
      <c r="E361" s="9" t="inlineStr">
        <is>
          <t>Northlight Group</t>
        </is>
      </c>
      <c r="F361" s="9" t="inlineStr">
        <is>
          <t>Gulf Coast</t>
        </is>
      </c>
      <c r="G361" s="9" t="inlineStr">
        <is>
          <t>Clearwater</t>
        </is>
      </c>
      <c r="H361" s="9" t="inlineStr">
        <is>
          <t>Calibration service</t>
        </is>
      </c>
      <c r="I361" s="10" t="n">
        <v>2</v>
      </c>
      <c r="J361" s="16" t="n">
        <v>180</v>
      </c>
      <c r="K361" s="18" t="n">
        <v>0</v>
      </c>
      <c r="L361" s="16">
        <f>I361*J361</f>
        <v/>
      </c>
      <c r="M361" s="16">
        <f>ROUND(L361*(1-K361),2)</f>
        <v/>
      </c>
      <c r="N361" s="16" t="n">
        <v>99</v>
      </c>
      <c r="O361" s="16">
        <f>I361*N361</f>
        <v/>
      </c>
      <c r="P361" s="18">
        <f>IFERROR((M361-O361)/M361,0)</f>
        <v/>
      </c>
      <c r="Q361" s="16" t="n">
        <v>0</v>
      </c>
      <c r="R361" s="9" t="inlineStr">
        <is>
          <t>Partner</t>
        </is>
      </c>
      <c r="S361" s="9" t="inlineStr">
        <is>
          <t>Jordan Vale</t>
        </is>
      </c>
      <c r="T361" s="9" t="inlineStr">
        <is>
          <t>Invoiced</t>
        </is>
      </c>
      <c r="U361" s="10" t="n">
        <v>384</v>
      </c>
      <c r="V361" s="9" t="inlineStr">
        <is>
          <t>Rush requested</t>
        </is>
      </c>
    </row>
    <row r="362">
      <c r="A362" s="7" t="inlineStr">
        <is>
          <t>AP-32653</t>
        </is>
      </c>
      <c r="B362" s="23" t="n">
        <v>46293</v>
      </c>
      <c r="C362" s="7">
        <f>TEXT(B362,"yyyy-mm")</f>
        <v/>
      </c>
      <c r="D362" s="7" t="inlineStr">
        <is>
          <t>NLG-014</t>
        </is>
      </c>
      <c r="E362" s="9" t="inlineStr">
        <is>
          <t>Northlight Group</t>
        </is>
      </c>
      <c r="F362" s="9" t="inlineStr">
        <is>
          <t>Gulf Coast</t>
        </is>
      </c>
      <c r="G362" s="9" t="inlineStr">
        <is>
          <t>St. Petersburg</t>
        </is>
      </c>
      <c r="H362" s="9" t="inlineStr">
        <is>
          <t>Meridian Bench</t>
        </is>
      </c>
      <c r="I362" s="10" t="n">
        <v>3</v>
      </c>
      <c r="J362" s="16" t="n">
        <v>4850</v>
      </c>
      <c r="K362" s="18" t="n">
        <v>0.08</v>
      </c>
      <c r="L362" s="16">
        <f>I362*J362</f>
        <v/>
      </c>
      <c r="M362" s="16">
        <f>ROUND(L362*(1-K362),2)</f>
        <v/>
      </c>
      <c r="N362" s="16" t="n">
        <v>2910</v>
      </c>
      <c r="O362" s="16">
        <f>I362*N362</f>
        <v/>
      </c>
      <c r="P362" s="18">
        <f>IFERROR((M362-O362)/M362,0)</f>
        <v/>
      </c>
      <c r="Q362" s="16" t="n">
        <v>88.69</v>
      </c>
      <c r="R362" s="9" t="inlineStr">
        <is>
          <t>Partner</t>
        </is>
      </c>
      <c r="S362" s="9" t="inlineStr">
        <is>
          <t>Jordan Vale</t>
        </is>
      </c>
      <c r="T362" s="9" t="inlineStr">
        <is>
          <t>Invoiced</t>
        </is>
      </c>
      <c r="U362" s="10" t="n">
        <v>385</v>
      </c>
      <c r="V362" s="9" t="inlineStr">
        <is>
          <t>Backorder cleared</t>
        </is>
      </c>
    </row>
    <row r="363">
      <c r="A363" s="7" t="inlineStr">
        <is>
          <t>AP-32664</t>
        </is>
      </c>
      <c r="B363" s="23" t="n">
        <v>46277</v>
      </c>
      <c r="C363" s="7">
        <f>TEXT(B363,"yyyy-mm")</f>
        <v/>
      </c>
      <c r="D363" s="7" t="inlineStr">
        <is>
          <t>NLG-011</t>
        </is>
      </c>
      <c r="E363" s="9" t="inlineStr">
        <is>
          <t>Northlight Group</t>
        </is>
      </c>
      <c r="F363" s="9" t="inlineStr">
        <is>
          <t>Gulf Coast</t>
        </is>
      </c>
      <c r="G363" s="9" t="inlineStr">
        <is>
          <t>Tampa</t>
        </is>
      </c>
      <c r="H363" s="9" t="inlineStr">
        <is>
          <t>Meridian Bench</t>
        </is>
      </c>
      <c r="I363" s="10" t="n">
        <v>2</v>
      </c>
      <c r="J363" s="16" t="n">
        <v>4850</v>
      </c>
      <c r="K363" s="18" t="n">
        <v>0.05</v>
      </c>
      <c r="L363" s="16">
        <f>I363*J363</f>
        <v/>
      </c>
      <c r="M363" s="16">
        <f>ROUND(L363*(1-K363),2)</f>
        <v/>
      </c>
      <c r="N363" s="16" t="n">
        <v>2910</v>
      </c>
      <c r="O363" s="16">
        <f>I363*N363</f>
        <v/>
      </c>
      <c r="P363" s="18">
        <f>IFERROR((M363-O363)/M363,0)</f>
        <v/>
      </c>
      <c r="Q363" s="16" t="n">
        <v>32.36</v>
      </c>
      <c r="R363" s="9" t="inlineStr">
        <is>
          <t>Partner</t>
        </is>
      </c>
      <c r="S363" s="9" t="inlineStr">
        <is>
          <t>Sami Torres</t>
        </is>
      </c>
      <c r="T363" s="9" t="inlineStr">
        <is>
          <t>Invoiced</t>
        </is>
      </c>
      <c r="U363" s="10" t="n">
        <v>386</v>
      </c>
      <c r="V363" s="9" t="inlineStr">
        <is>
          <t>Replaces damaged unit</t>
        </is>
      </c>
    </row>
    <row r="364">
      <c r="A364" s="7" t="inlineStr">
        <is>
          <t>AP-32668</t>
        </is>
      </c>
      <c r="B364" s="23" t="n">
        <v>46266</v>
      </c>
      <c r="C364" s="7">
        <f>TEXT(B364,"yyyy-mm")</f>
        <v/>
      </c>
      <c r="D364" s="7" t="inlineStr">
        <is>
          <t>NLG-022</t>
        </is>
      </c>
      <c r="E364" s="9" t="inlineStr">
        <is>
          <t>Northlight Group</t>
        </is>
      </c>
      <c r="F364" s="9" t="inlineStr">
        <is>
          <t>Central Florida</t>
        </is>
      </c>
      <c r="G364" s="9" t="inlineStr">
        <is>
          <t>Orlando</t>
        </is>
      </c>
      <c r="H364" s="9" t="inlineStr">
        <is>
          <t>Atlas Care Plus</t>
        </is>
      </c>
      <c r="I364" s="10" t="n">
        <v>2</v>
      </c>
      <c r="J364" s="16" t="n">
        <v>1788</v>
      </c>
      <c r="K364" s="18" t="n">
        <v>0.05</v>
      </c>
      <c r="L364" s="16">
        <f>I364*J364</f>
        <v/>
      </c>
      <c r="M364" s="16">
        <f>ROUND(L364*(1-K364),2)</f>
        <v/>
      </c>
      <c r="N364" s="16" t="n">
        <v>447</v>
      </c>
      <c r="O364" s="16">
        <f>I364*N364</f>
        <v/>
      </c>
      <c r="P364" s="18">
        <f>IFERROR((M364-O364)/M364,0)</f>
        <v/>
      </c>
      <c r="Q364" s="16" t="n">
        <v>0</v>
      </c>
      <c r="R364" s="9" t="inlineStr">
        <is>
          <t>Partner</t>
        </is>
      </c>
      <c r="S364" s="9" t="inlineStr">
        <is>
          <t>Sami Torres</t>
        </is>
      </c>
      <c r="T364" s="9" t="inlineStr">
        <is>
          <t>Invoiced</t>
        </is>
      </c>
      <c r="U364" s="10" t="n">
        <v>387</v>
      </c>
      <c r="V364" s="9" t="inlineStr">
        <is>
          <t>Ship with calibration cert</t>
        </is>
      </c>
    </row>
    <row r="365">
      <c r="A365" s="7" t="inlineStr">
        <is>
          <t>AP-32675</t>
        </is>
      </c>
      <c r="B365" s="23" t="n">
        <v>46232</v>
      </c>
      <c r="C365" s="7">
        <f>TEXT(B365,"yyyy-mm")</f>
        <v/>
      </c>
      <c r="D365" s="7" t="inlineStr">
        <is>
          <t>NLG-014</t>
        </is>
      </c>
      <c r="E365" s="9" t="inlineStr">
        <is>
          <t>Northlight Group</t>
        </is>
      </c>
      <c r="F365" s="9" t="inlineStr">
        <is>
          <t>Gulf Coast</t>
        </is>
      </c>
      <c r="G365" s="9" t="inlineStr">
        <is>
          <t>St. Petersburg</t>
        </is>
      </c>
      <c r="H365" s="9" t="inlineStr">
        <is>
          <t>Atlas Care Plus</t>
        </is>
      </c>
      <c r="I365" s="10" t="n">
        <v>6</v>
      </c>
      <c r="J365" s="16" t="n">
        <v>1788</v>
      </c>
      <c r="K365" s="18" t="n">
        <v>0</v>
      </c>
      <c r="L365" s="16">
        <f>I365*J365</f>
        <v/>
      </c>
      <c r="M365" s="16">
        <f>ROUND(L365*(1-K365),2)</f>
        <v/>
      </c>
      <c r="N365" s="16" t="n">
        <v>447</v>
      </c>
      <c r="O365" s="16">
        <f>I365*N365</f>
        <v/>
      </c>
      <c r="P365" s="18">
        <f>IFERROR((M365-O365)/M365,0)</f>
        <v/>
      </c>
      <c r="Q365" s="16" t="n">
        <v>0</v>
      </c>
      <c r="R365" s="9" t="inlineStr">
        <is>
          <t>Partner</t>
        </is>
      </c>
      <c r="S365" s="9" t="inlineStr">
        <is>
          <t>Sami Torres</t>
        </is>
      </c>
      <c r="T365" s="9" t="inlineStr">
        <is>
          <t>Invoiced</t>
        </is>
      </c>
      <c r="U365" s="10" t="n">
        <v>388</v>
      </c>
      <c r="V365" s="9" t="inlineStr">
        <is>
          <t>Backorder cleared</t>
        </is>
      </c>
    </row>
    <row r="366">
      <c r="A366" s="7" t="inlineStr">
        <is>
          <t>AP-32684</t>
        </is>
      </c>
      <c r="B366" s="23" t="n">
        <v>46276</v>
      </c>
      <c r="C366" s="7">
        <f>TEXT(B366,"yyyy-mm")</f>
        <v/>
      </c>
      <c r="D366" s="7" t="inlineStr">
        <is>
          <t>NLG-022</t>
        </is>
      </c>
      <c r="E366" s="9" t="inlineStr">
        <is>
          <t>Northlight Group</t>
        </is>
      </c>
      <c r="F366" s="9" t="inlineStr">
        <is>
          <t>Central Florida</t>
        </is>
      </c>
      <c r="G366" s="9" t="inlineStr">
        <is>
          <t>Orlando</t>
        </is>
      </c>
      <c r="H366" s="9" t="inlineStr">
        <is>
          <t>Meridian Bench</t>
        </is>
      </c>
      <c r="I366" s="10" t="n">
        <v>2</v>
      </c>
      <c r="J366" s="16" t="n">
        <v>4850</v>
      </c>
      <c r="K366" s="18" t="n">
        <v>0.08</v>
      </c>
      <c r="L366" s="16">
        <f>I366*J366</f>
        <v/>
      </c>
      <c r="M366" s="16">
        <f>ROUND(L366*(1-K366),2)</f>
        <v/>
      </c>
      <c r="N366" s="16" t="n">
        <v>2910</v>
      </c>
      <c r="O366" s="16">
        <f>I366*N366</f>
        <v/>
      </c>
      <c r="P366" s="18">
        <f>IFERROR((M366-O366)/M366,0)</f>
        <v/>
      </c>
      <c r="Q366" s="16" t="n">
        <v>99.08</v>
      </c>
      <c r="R366" s="9" t="inlineStr">
        <is>
          <t>Partner</t>
        </is>
      </c>
      <c r="S366" s="9" t="inlineStr">
        <is>
          <t>Sami Torres</t>
        </is>
      </c>
      <c r="T366" s="9" t="inlineStr">
        <is>
          <t>Invoiced</t>
        </is>
      </c>
      <c r="U366" s="10" t="n">
        <v>389</v>
      </c>
      <c r="V366" s="9" t="inlineStr">
        <is>
          <t>Partner pickup</t>
        </is>
      </c>
    </row>
    <row r="367">
      <c r="A367" s="7" t="inlineStr">
        <is>
          <t>AP-32688</t>
        </is>
      </c>
      <c r="B367" s="23" t="n">
        <v>46285</v>
      </c>
      <c r="C367" s="7">
        <f>TEXT(B367,"yyyy-mm")</f>
        <v/>
      </c>
      <c r="D367" s="7" t="inlineStr">
        <is>
          <t>NLG-044</t>
        </is>
      </c>
      <c r="E367" s="9" t="inlineStr">
        <is>
          <t>Northlight Group</t>
        </is>
      </c>
      <c r="F367" s="9" t="inlineStr">
        <is>
          <t>Central Florida</t>
        </is>
      </c>
      <c r="G367" s="9" t="inlineStr">
        <is>
          <t>Brandon</t>
        </is>
      </c>
      <c r="H367" s="9" t="inlineStr">
        <is>
          <t>On-site training</t>
        </is>
      </c>
      <c r="I367" s="10" t="n">
        <v>1</v>
      </c>
      <c r="J367" s="16" t="n">
        <v>650</v>
      </c>
      <c r="K367" s="18" t="n">
        <v>0.05</v>
      </c>
      <c r="L367" s="16">
        <f>I367*J367</f>
        <v/>
      </c>
      <c r="M367" s="16">
        <f>ROUND(L367*(1-K367),2)</f>
        <v/>
      </c>
      <c r="N367" s="16" t="n">
        <v>429</v>
      </c>
      <c r="O367" s="16">
        <f>I367*N367</f>
        <v/>
      </c>
      <c r="P367" s="18">
        <f>IFERROR((M367-O367)/M367,0)</f>
        <v/>
      </c>
      <c r="Q367" s="16" t="n">
        <v>0</v>
      </c>
      <c r="R367" s="9" t="inlineStr">
        <is>
          <t>Partner</t>
        </is>
      </c>
      <c r="S367" s="9" t="inlineStr">
        <is>
          <t>Sami Torres</t>
        </is>
      </c>
      <c r="T367" s="9" t="inlineStr">
        <is>
          <t>Invoiced</t>
        </is>
      </c>
      <c r="U367" s="10" t="n">
        <v>390</v>
      </c>
      <c r="V367" s="9" t="inlineStr">
        <is>
          <t>Renewal</t>
        </is>
      </c>
    </row>
    <row r="368">
      <c r="A368" s="7" t="inlineStr">
        <is>
          <t>AP-32697</t>
        </is>
      </c>
      <c r="B368" s="23" t="n">
        <v>46238</v>
      </c>
      <c r="C368" s="7">
        <f>TEXT(B368,"yyyy-mm")</f>
        <v/>
      </c>
      <c r="D368" s="7" t="inlineStr">
        <is>
          <t>DIR-000</t>
        </is>
      </c>
      <c r="E368" s="9" t="inlineStr">
        <is>
          <t>Apex Instruments direct</t>
        </is>
      </c>
      <c r="F368" s="9" t="inlineStr">
        <is>
          <t>House</t>
        </is>
      </c>
      <c r="G368" s="9" t="inlineStr">
        <is>
          <t>Tampa</t>
        </is>
      </c>
      <c r="H368" s="9" t="inlineStr">
        <is>
          <t>Meridian Field Kit</t>
        </is>
      </c>
      <c r="I368" s="10" t="n">
        <v>8</v>
      </c>
      <c r="J368" s="16" t="n">
        <v>1240</v>
      </c>
      <c r="K368" s="18" t="n">
        <v>0</v>
      </c>
      <c r="L368" s="16">
        <f>I368*J368</f>
        <v/>
      </c>
      <c r="M368" s="16">
        <f>ROUND(L368*(1-K368),2)</f>
        <v/>
      </c>
      <c r="N368" s="16" t="n">
        <v>806</v>
      </c>
      <c r="O368" s="16">
        <f>I368*N368</f>
        <v/>
      </c>
      <c r="P368" s="18">
        <f>IFERROR((M368-O368)/M368,0)</f>
        <v/>
      </c>
      <c r="Q368" s="16" t="n">
        <v>100.4</v>
      </c>
      <c r="R368" s="9" t="inlineStr">
        <is>
          <t>Direct</t>
        </is>
      </c>
      <c r="S368" s="9" t="inlineStr">
        <is>
          <t>Jordan Vale</t>
        </is>
      </c>
      <c r="T368" s="9" t="inlineStr">
        <is>
          <t>Open</t>
        </is>
      </c>
      <c r="U368" s="10" t="n">
        <v>391</v>
      </c>
      <c r="V368" s="9" t="inlineStr"/>
    </row>
    <row r="369">
      <c r="A369" s="7" t="inlineStr">
        <is>
          <t>AP-32706</t>
        </is>
      </c>
      <c r="B369" s="23" t="n">
        <v>46208</v>
      </c>
      <c r="C369" s="7">
        <f>TEXT(B369,"yyyy-mm")</f>
        <v/>
      </c>
      <c r="D369" s="7" t="inlineStr">
        <is>
          <t>NLG-036</t>
        </is>
      </c>
      <c r="E369" s="9" t="inlineStr">
        <is>
          <t>Northlight Group</t>
        </is>
      </c>
      <c r="F369" s="9" t="inlineStr">
        <is>
          <t>Gulf Coast</t>
        </is>
      </c>
      <c r="G369" s="9" t="inlineStr">
        <is>
          <t>Clearwater</t>
        </is>
      </c>
      <c r="H369" s="9" t="inlineStr">
        <is>
          <t>Meridian Field Kit</t>
        </is>
      </c>
      <c r="I369" s="10" t="n">
        <v>2</v>
      </c>
      <c r="J369" s="16" t="n">
        <v>1240</v>
      </c>
      <c r="K369" s="18" t="n">
        <v>0</v>
      </c>
      <c r="L369" s="16">
        <f>I369*J369</f>
        <v/>
      </c>
      <c r="M369" s="16">
        <f>ROUND(L369*(1-K369),2)</f>
        <v/>
      </c>
      <c r="N369" s="16" t="n">
        <v>806</v>
      </c>
      <c r="O369" s="16">
        <f>I369*N369</f>
        <v/>
      </c>
      <c r="P369" s="18">
        <f>IFERROR((M369-O369)/M369,0)</f>
        <v/>
      </c>
      <c r="Q369" s="16" t="n">
        <v>124.92</v>
      </c>
      <c r="R369" s="9" t="inlineStr">
        <is>
          <t>Partner</t>
        </is>
      </c>
      <c r="S369" s="9" t="inlineStr">
        <is>
          <t>Jordan Vale</t>
        </is>
      </c>
      <c r="T369" s="9" t="inlineStr">
        <is>
          <t>Shipped</t>
        </is>
      </c>
      <c r="U369" s="10" t="n">
        <v>392</v>
      </c>
      <c r="V369" s="9" t="inlineStr"/>
    </row>
    <row r="370">
      <c r="A370" s="7" t="inlineStr">
        <is>
          <t>AP-32712</t>
        </is>
      </c>
      <c r="B370" s="23" t="n">
        <v>46246</v>
      </c>
      <c r="C370" s="7">
        <f>TEXT(B370,"yyyy-mm")</f>
        <v/>
      </c>
      <c r="D370" s="7" t="inlineStr">
        <is>
          <t>DIR-000</t>
        </is>
      </c>
      <c r="E370" s="9" t="inlineStr">
        <is>
          <t>Apex Instruments direct</t>
        </is>
      </c>
      <c r="F370" s="9" t="inlineStr">
        <is>
          <t>House</t>
        </is>
      </c>
      <c r="G370" s="9" t="inlineStr">
        <is>
          <t>Tampa</t>
        </is>
      </c>
      <c r="H370" s="9" t="inlineStr">
        <is>
          <t>Calibration service</t>
        </is>
      </c>
      <c r="I370" s="10" t="n">
        <v>1</v>
      </c>
      <c r="J370" s="16" t="n">
        <v>180</v>
      </c>
      <c r="K370" s="18" t="n">
        <v>0.08</v>
      </c>
      <c r="L370" s="16">
        <f>I370*J370</f>
        <v/>
      </c>
      <c r="M370" s="16">
        <f>ROUND(L370*(1-K370),2)</f>
        <v/>
      </c>
      <c r="N370" s="16" t="n">
        <v>99</v>
      </c>
      <c r="O370" s="16">
        <f>I370*N370</f>
        <v/>
      </c>
      <c r="P370" s="18">
        <f>IFERROR((M370-O370)/M370,0)</f>
        <v/>
      </c>
      <c r="Q370" s="16" t="n">
        <v>0</v>
      </c>
      <c r="R370" s="9" t="inlineStr">
        <is>
          <t>Direct</t>
        </is>
      </c>
      <c r="S370" s="9" t="inlineStr">
        <is>
          <t>Avery Kellen</t>
        </is>
      </c>
      <c r="T370" s="9" t="inlineStr">
        <is>
          <t>Shipped</t>
        </is>
      </c>
      <c r="U370" s="10" t="n">
        <v>393</v>
      </c>
      <c r="V370" s="9" t="inlineStr"/>
    </row>
    <row r="371">
      <c r="A371" s="7" t="inlineStr">
        <is>
          <t>AP-32716</t>
        </is>
      </c>
      <c r="B371" s="23" t="n">
        <v>46234</v>
      </c>
      <c r="C371" s="7">
        <f>TEXT(B371,"yyyy-mm")</f>
        <v/>
      </c>
      <c r="D371" s="7" t="inlineStr">
        <is>
          <t>NLG-031</t>
        </is>
      </c>
      <c r="E371" s="9" t="inlineStr">
        <is>
          <t>Northlight Group</t>
        </is>
      </c>
      <c r="F371" s="9" t="inlineStr">
        <is>
          <t>Gulf Coast</t>
        </is>
      </c>
      <c r="G371" s="9" t="inlineStr">
        <is>
          <t>Sarasota</t>
        </is>
      </c>
      <c r="H371" s="9" t="inlineStr">
        <is>
          <t>Calibration service</t>
        </is>
      </c>
      <c r="I371" s="10" t="n">
        <v>3</v>
      </c>
      <c r="J371" s="16" t="n">
        <v>180</v>
      </c>
      <c r="K371" s="18" t="n">
        <v>0.05</v>
      </c>
      <c r="L371" s="16">
        <f>I371*J371</f>
        <v/>
      </c>
      <c r="M371" s="16">
        <f>ROUND(L371*(1-K371),2)</f>
        <v/>
      </c>
      <c r="N371" s="16" t="n">
        <v>99</v>
      </c>
      <c r="O371" s="16">
        <f>I371*N371</f>
        <v/>
      </c>
      <c r="P371" s="18">
        <f>IFERROR((M371-O371)/M371,0)</f>
        <v/>
      </c>
      <c r="Q371" s="16" t="n">
        <v>0</v>
      </c>
      <c r="R371" s="9" t="inlineStr">
        <is>
          <t>Partner</t>
        </is>
      </c>
      <c r="S371" s="9" t="inlineStr">
        <is>
          <t>Avery Kellen</t>
        </is>
      </c>
      <c r="T371" s="9" t="inlineStr">
        <is>
          <t>Invoiced</t>
        </is>
      </c>
      <c r="U371" s="10" t="n">
        <v>394</v>
      </c>
      <c r="V371" s="9" t="inlineStr">
        <is>
          <t>PO on file</t>
        </is>
      </c>
    </row>
    <row r="372">
      <c r="A372" s="7" t="inlineStr">
        <is>
          <t>AP-32726</t>
        </is>
      </c>
      <c r="B372" s="23" t="n">
        <v>46210</v>
      </c>
      <c r="C372" s="7">
        <f>TEXT(B372,"yyyy-mm")</f>
        <v/>
      </c>
      <c r="D372" s="7" t="inlineStr">
        <is>
          <t>NLG-022</t>
        </is>
      </c>
      <c r="E372" s="9" t="inlineStr">
        <is>
          <t>Northlight Group</t>
        </is>
      </c>
      <c r="F372" s="9" t="inlineStr">
        <is>
          <t>Central Florida</t>
        </is>
      </c>
      <c r="G372" s="9" t="inlineStr">
        <is>
          <t>Orlando</t>
        </is>
      </c>
      <c r="H372" s="9" t="inlineStr">
        <is>
          <t>Calibration service</t>
        </is>
      </c>
      <c r="I372" s="10" t="n">
        <v>1</v>
      </c>
      <c r="J372" s="16" t="n">
        <v>180</v>
      </c>
      <c r="K372" s="18" t="n">
        <v>0</v>
      </c>
      <c r="L372" s="16">
        <f>I372*J372</f>
        <v/>
      </c>
      <c r="M372" s="16">
        <f>ROUND(L372*(1-K372),2)</f>
        <v/>
      </c>
      <c r="N372" s="16" t="n">
        <v>99</v>
      </c>
      <c r="O372" s="16">
        <f>I372*N372</f>
        <v/>
      </c>
      <c r="P372" s="18">
        <f>IFERROR((M372-O372)/M372,0)</f>
        <v/>
      </c>
      <c r="Q372" s="16" t="n">
        <v>0</v>
      </c>
      <c r="R372" s="9" t="inlineStr">
        <is>
          <t>Partner</t>
        </is>
      </c>
      <c r="S372" s="9" t="inlineStr">
        <is>
          <t>Jordan Vale</t>
        </is>
      </c>
      <c r="T372" s="9" t="inlineStr">
        <is>
          <t>Shipped</t>
        </is>
      </c>
      <c r="U372" s="10" t="n">
        <v>395</v>
      </c>
      <c r="V372" s="9" t="inlineStr"/>
    </row>
    <row r="373">
      <c r="A373" s="7" t="inlineStr">
        <is>
          <t>AP-32730</t>
        </is>
      </c>
      <c r="B373" s="23" t="n">
        <v>46238</v>
      </c>
      <c r="C373" s="7">
        <f>TEXT(B373,"yyyy-mm")</f>
        <v/>
      </c>
      <c r="D373" s="7" t="inlineStr">
        <is>
          <t>NLG-011</t>
        </is>
      </c>
      <c r="E373" s="9" t="inlineStr">
        <is>
          <t>Northlight Group</t>
        </is>
      </c>
      <c r="F373" s="9" t="inlineStr">
        <is>
          <t>Gulf Coast</t>
        </is>
      </c>
      <c r="G373" s="9" t="inlineStr">
        <is>
          <t>Tampa</t>
        </is>
      </c>
      <c r="H373" s="9" t="inlineStr">
        <is>
          <t>Atlas Care Plus</t>
        </is>
      </c>
      <c r="I373" s="10" t="n">
        <v>11</v>
      </c>
      <c r="J373" s="16" t="n">
        <v>1788</v>
      </c>
      <c r="K373" s="18" t="n">
        <v>0</v>
      </c>
      <c r="L373" s="16">
        <f>I373*J373</f>
        <v/>
      </c>
      <c r="M373" s="16">
        <f>ROUND(L373*(1-K373),2)</f>
        <v/>
      </c>
      <c r="N373" s="16" t="n">
        <v>447</v>
      </c>
      <c r="O373" s="16">
        <f>I373*N373</f>
        <v/>
      </c>
      <c r="P373" s="18">
        <f>IFERROR((M373-O373)/M373,0)</f>
        <v/>
      </c>
      <c r="Q373" s="16" t="n">
        <v>0</v>
      </c>
      <c r="R373" s="9" t="inlineStr">
        <is>
          <t>Partner</t>
        </is>
      </c>
      <c r="S373" s="9" t="inlineStr">
        <is>
          <t>Avery Kellen</t>
        </is>
      </c>
      <c r="T373" s="9" t="inlineStr">
        <is>
          <t>Shipped</t>
        </is>
      </c>
      <c r="U373" s="10" t="n">
        <v>396</v>
      </c>
      <c r="V373" s="9" t="inlineStr">
        <is>
          <t>Partner pickup</t>
        </is>
      </c>
    </row>
    <row r="374">
      <c r="A374" s="7" t="inlineStr">
        <is>
          <t>AP-32739</t>
        </is>
      </c>
      <c r="B374" s="23" t="n">
        <v>46209</v>
      </c>
      <c r="C374" s="7">
        <f>TEXT(B374,"yyyy-mm")</f>
        <v/>
      </c>
      <c r="D374" s="7" t="inlineStr">
        <is>
          <t>NLG-031</t>
        </is>
      </c>
      <c r="E374" s="9" t="inlineStr">
        <is>
          <t>Northlight Group</t>
        </is>
      </c>
      <c r="F374" s="9" t="inlineStr">
        <is>
          <t>Gulf Coast</t>
        </is>
      </c>
      <c r="G374" s="9" t="inlineStr">
        <is>
          <t>Sarasota</t>
        </is>
      </c>
      <c r="H374" s="9" t="inlineStr">
        <is>
          <t>Meridian Pro</t>
        </is>
      </c>
      <c r="I374" s="10" t="n">
        <v>2</v>
      </c>
      <c r="J374" s="16" t="n">
        <v>7900</v>
      </c>
      <c r="K374" s="18" t="n">
        <v>0.05</v>
      </c>
      <c r="L374" s="16">
        <f>I374*J374</f>
        <v/>
      </c>
      <c r="M374" s="16">
        <f>ROUND(L374*(1-K374),2)</f>
        <v/>
      </c>
      <c r="N374" s="16" t="n">
        <v>4345</v>
      </c>
      <c r="O374" s="16">
        <f>I374*N374</f>
        <v/>
      </c>
      <c r="P374" s="18">
        <f>IFERROR((M374-O374)/M374,0)</f>
        <v/>
      </c>
      <c r="Q374" s="16" t="n">
        <v>125.35</v>
      </c>
      <c r="R374" s="9" t="inlineStr">
        <is>
          <t>Partner</t>
        </is>
      </c>
      <c r="S374" s="9" t="inlineStr">
        <is>
          <t>Avery Kellen</t>
        </is>
      </c>
      <c r="T374" s="9" t="inlineStr">
        <is>
          <t>Shipped</t>
        </is>
      </c>
      <c r="U374" s="10" t="n">
        <v>397</v>
      </c>
      <c r="V374" s="9" t="inlineStr">
        <is>
          <t>Partner pickup</t>
        </is>
      </c>
    </row>
    <row r="375">
      <c r="A375" s="7" t="inlineStr">
        <is>
          <t>AP-32748</t>
        </is>
      </c>
      <c r="B375" s="23" t="n">
        <v>46228</v>
      </c>
      <c r="C375" s="7">
        <f>TEXT(B375,"yyyy-mm")</f>
        <v/>
      </c>
      <c r="D375" s="7" t="inlineStr">
        <is>
          <t>DIR-000</t>
        </is>
      </c>
      <c r="E375" s="9" t="inlineStr">
        <is>
          <t>Apex Instruments direct</t>
        </is>
      </c>
      <c r="F375" s="9" t="inlineStr">
        <is>
          <t>House</t>
        </is>
      </c>
      <c r="G375" s="9" t="inlineStr">
        <is>
          <t>Tampa</t>
        </is>
      </c>
      <c r="H375" s="9" t="inlineStr">
        <is>
          <t>Meridian Pro</t>
        </is>
      </c>
      <c r="I375" s="10" t="n">
        <v>2</v>
      </c>
      <c r="J375" s="16" t="n">
        <v>7900</v>
      </c>
      <c r="K375" s="18" t="n">
        <v>0.05</v>
      </c>
      <c r="L375" s="16">
        <f>I375*J375</f>
        <v/>
      </c>
      <c r="M375" s="16">
        <f>ROUND(L375*(1-K375),2)</f>
        <v/>
      </c>
      <c r="N375" s="16" t="n">
        <v>4345</v>
      </c>
      <c r="O375" s="16">
        <f>I375*N375</f>
        <v/>
      </c>
      <c r="P375" s="18">
        <f>IFERROR((M375-O375)/M375,0)</f>
        <v/>
      </c>
      <c r="Q375" s="16" t="n">
        <v>41.46</v>
      </c>
      <c r="R375" s="9" t="inlineStr">
        <is>
          <t>Direct</t>
        </is>
      </c>
      <c r="S375" s="9" t="inlineStr">
        <is>
          <t>Morgan Reyes</t>
        </is>
      </c>
      <c r="T375" s="9" t="inlineStr">
        <is>
          <t>Shipped</t>
        </is>
      </c>
      <c r="U375" s="10" t="n">
        <v>398</v>
      </c>
      <c r="V375" s="9" t="inlineStr"/>
    </row>
    <row r="376">
      <c r="A376" s="7" t="inlineStr">
        <is>
          <t>AP-32751</t>
        </is>
      </c>
      <c r="B376" s="23" t="n">
        <v>46270</v>
      </c>
      <c r="C376" s="7">
        <f>TEXT(B376,"yyyy-mm")</f>
        <v/>
      </c>
      <c r="D376" s="7" t="inlineStr">
        <is>
          <t>DIR-000</t>
        </is>
      </c>
      <c r="E376" s="9" t="inlineStr">
        <is>
          <t>Apex Instruments direct</t>
        </is>
      </c>
      <c r="F376" s="9" t="inlineStr">
        <is>
          <t>House</t>
        </is>
      </c>
      <c r="G376" s="9" t="inlineStr">
        <is>
          <t>Tampa</t>
        </is>
      </c>
      <c r="H376" s="9" t="inlineStr">
        <is>
          <t>On-site training</t>
        </is>
      </c>
      <c r="I376" s="10" t="n">
        <v>1</v>
      </c>
      <c r="J376" s="16" t="n">
        <v>650</v>
      </c>
      <c r="K376" s="18" t="n">
        <v>0.05</v>
      </c>
      <c r="L376" s="16">
        <f>I376*J376</f>
        <v/>
      </c>
      <c r="M376" s="16">
        <f>ROUND(L376*(1-K376),2)</f>
        <v/>
      </c>
      <c r="N376" s="16" t="n">
        <v>429</v>
      </c>
      <c r="O376" s="16">
        <f>I376*N376</f>
        <v/>
      </c>
      <c r="P376" s="18">
        <f>IFERROR((M376-O376)/M376,0)</f>
        <v/>
      </c>
      <c r="Q376" s="16" t="n">
        <v>0</v>
      </c>
      <c r="R376" s="9" t="inlineStr">
        <is>
          <t>Direct</t>
        </is>
      </c>
      <c r="S376" s="9" t="inlineStr">
        <is>
          <t>Jordan Vale</t>
        </is>
      </c>
      <c r="T376" s="9" t="inlineStr">
        <is>
          <t>Shipped</t>
        </is>
      </c>
      <c r="U376" s="10" t="n">
        <v>399</v>
      </c>
      <c r="V376" s="9" t="inlineStr"/>
    </row>
    <row r="377">
      <c r="A377" s="7" t="inlineStr">
        <is>
          <t>AP-32761</t>
        </is>
      </c>
      <c r="B377" s="23" t="n">
        <v>46254</v>
      </c>
      <c r="C377" s="7">
        <f>TEXT(B377,"yyyy-mm")</f>
        <v/>
      </c>
      <c r="D377" s="7" t="inlineStr">
        <is>
          <t>NLG-011</t>
        </is>
      </c>
      <c r="E377" s="9" t="inlineStr">
        <is>
          <t>Northlight Group</t>
        </is>
      </c>
      <c r="F377" s="9" t="inlineStr">
        <is>
          <t>Gulf Coast</t>
        </is>
      </c>
      <c r="G377" s="9" t="inlineStr">
        <is>
          <t>Tampa</t>
        </is>
      </c>
      <c r="H377" s="9" t="inlineStr">
        <is>
          <t>Atlas Care Plus</t>
        </is>
      </c>
      <c r="I377" s="10" t="n">
        <v>9</v>
      </c>
      <c r="J377" s="16" t="n">
        <v>1788</v>
      </c>
      <c r="K377" s="18" t="n">
        <v>0</v>
      </c>
      <c r="L377" s="16">
        <f>I377*J377</f>
        <v/>
      </c>
      <c r="M377" s="16">
        <f>ROUND(L377*(1-K377),2)</f>
        <v/>
      </c>
      <c r="N377" s="16" t="n">
        <v>447</v>
      </c>
      <c r="O377" s="16">
        <f>I377*N377</f>
        <v/>
      </c>
      <c r="P377" s="18">
        <f>IFERROR((M377-O377)/M377,0)</f>
        <v/>
      </c>
      <c r="Q377" s="16" t="n">
        <v>0</v>
      </c>
      <c r="R377" s="9" t="inlineStr">
        <is>
          <t>Partner</t>
        </is>
      </c>
      <c r="S377" s="9" t="inlineStr">
        <is>
          <t>Sami Torres</t>
        </is>
      </c>
      <c r="T377" s="9" t="inlineStr">
        <is>
          <t>Shipped</t>
        </is>
      </c>
      <c r="U377" s="10" t="n">
        <v>400</v>
      </c>
      <c r="V377" s="9" t="inlineStr"/>
    </row>
    <row r="378">
      <c r="A378" s="7" t="inlineStr">
        <is>
          <t>AP-32769</t>
        </is>
      </c>
      <c r="B378" s="23" t="n">
        <v>46231</v>
      </c>
      <c r="C378" s="7">
        <f>TEXT(B378,"yyyy-mm")</f>
        <v/>
      </c>
      <c r="D378" s="7" t="inlineStr">
        <is>
          <t>NLG-031</t>
        </is>
      </c>
      <c r="E378" s="9" t="inlineStr">
        <is>
          <t>Northlight Group</t>
        </is>
      </c>
      <c r="F378" s="9" t="inlineStr">
        <is>
          <t>Gulf Coast</t>
        </is>
      </c>
      <c r="G378" s="9" t="inlineStr">
        <is>
          <t>Sarasota</t>
        </is>
      </c>
      <c r="H378" s="9" t="inlineStr">
        <is>
          <t>Atlas Care Plus</t>
        </is>
      </c>
      <c r="I378" s="10" t="n">
        <v>4</v>
      </c>
      <c r="J378" s="16" t="n">
        <v>1788</v>
      </c>
      <c r="K378" s="18" t="n">
        <v>0</v>
      </c>
      <c r="L378" s="16">
        <f>I378*J378</f>
        <v/>
      </c>
      <c r="M378" s="16">
        <f>ROUND(L378*(1-K378),2)</f>
        <v/>
      </c>
      <c r="N378" s="16" t="n">
        <v>447</v>
      </c>
      <c r="O378" s="16">
        <f>I378*N378</f>
        <v/>
      </c>
      <c r="P378" s="18">
        <f>IFERROR((M378-O378)/M378,0)</f>
        <v/>
      </c>
      <c r="Q378" s="16" t="n">
        <v>0</v>
      </c>
      <c r="R378" s="9" t="inlineStr">
        <is>
          <t>Partner</t>
        </is>
      </c>
      <c r="S378" s="9" t="inlineStr">
        <is>
          <t>Sami Torres</t>
        </is>
      </c>
      <c r="T378" s="9" t="inlineStr">
        <is>
          <t>Shipped</t>
        </is>
      </c>
      <c r="U378" s="10" t="n">
        <v>401</v>
      </c>
      <c r="V378" s="9" t="inlineStr">
        <is>
          <t>Replaces damaged unit</t>
        </is>
      </c>
    </row>
    <row r="379">
      <c r="A379" s="7" t="inlineStr">
        <is>
          <t>AP-32775</t>
        </is>
      </c>
      <c r="B379" s="23" t="n">
        <v>46279</v>
      </c>
      <c r="C379" s="7">
        <f>TEXT(B379,"yyyy-mm")</f>
        <v/>
      </c>
      <c r="D379" s="7" t="inlineStr">
        <is>
          <t>NLG-011</t>
        </is>
      </c>
      <c r="E379" s="9" t="inlineStr">
        <is>
          <t>Northlight Group</t>
        </is>
      </c>
      <c r="F379" s="9" t="inlineStr">
        <is>
          <t>Gulf Coast</t>
        </is>
      </c>
      <c r="G379" s="9" t="inlineStr">
        <is>
          <t>Tampa</t>
        </is>
      </c>
      <c r="H379" s="9" t="inlineStr">
        <is>
          <t>Calibration service</t>
        </is>
      </c>
      <c r="I379" s="10" t="n">
        <v>2</v>
      </c>
      <c r="J379" s="16" t="n">
        <v>180</v>
      </c>
      <c r="K379" s="18" t="n">
        <v>0</v>
      </c>
      <c r="L379" s="16">
        <f>I379*J379</f>
        <v/>
      </c>
      <c r="M379" s="16">
        <f>ROUND(L379*(1-K379),2)</f>
        <v/>
      </c>
      <c r="N379" s="16" t="n">
        <v>99</v>
      </c>
      <c r="O379" s="16">
        <f>I379*N379</f>
        <v/>
      </c>
      <c r="P379" s="18">
        <f>IFERROR((M379-O379)/M379,0)</f>
        <v/>
      </c>
      <c r="Q379" s="16" t="n">
        <v>0</v>
      </c>
      <c r="R379" s="9" t="inlineStr">
        <is>
          <t>Partner</t>
        </is>
      </c>
      <c r="S379" s="9" t="inlineStr">
        <is>
          <t>Morgan Reyes</t>
        </is>
      </c>
      <c r="T379" s="9" t="inlineStr">
        <is>
          <t>Shipped</t>
        </is>
      </c>
      <c r="U379" s="10" t="n">
        <v>402</v>
      </c>
      <c r="V379" s="9" t="inlineStr"/>
    </row>
    <row r="380">
      <c r="A380" s="7" t="inlineStr">
        <is>
          <t>AP-32783</t>
        </is>
      </c>
      <c r="B380" s="23" t="n">
        <v>46225</v>
      </c>
      <c r="C380" s="7">
        <f>TEXT(B380,"yyyy-mm")</f>
        <v/>
      </c>
      <c r="D380" s="7" t="inlineStr">
        <is>
          <t>NLG-011</t>
        </is>
      </c>
      <c r="E380" s="9" t="inlineStr">
        <is>
          <t>Northlight Group</t>
        </is>
      </c>
      <c r="F380" s="9" t="inlineStr">
        <is>
          <t>Gulf Coast</t>
        </is>
      </c>
      <c r="G380" s="9" t="inlineStr">
        <is>
          <t>Tampa</t>
        </is>
      </c>
      <c r="H380" s="9" t="inlineStr">
        <is>
          <t>Atlas Care Plus</t>
        </is>
      </c>
      <c r="I380" s="10" t="n">
        <v>3</v>
      </c>
      <c r="J380" s="16" t="n">
        <v>1788</v>
      </c>
      <c r="K380" s="18" t="n">
        <v>0</v>
      </c>
      <c r="L380" s="16">
        <f>I380*J380</f>
        <v/>
      </c>
      <c r="M380" s="16">
        <f>ROUND(L380*(1-K380),2)</f>
        <v/>
      </c>
      <c r="N380" s="16" t="n">
        <v>447</v>
      </c>
      <c r="O380" s="16">
        <f>I380*N380</f>
        <v/>
      </c>
      <c r="P380" s="18">
        <f>IFERROR((M380-O380)/M380,0)</f>
        <v/>
      </c>
      <c r="Q380" s="16" t="n">
        <v>0</v>
      </c>
      <c r="R380" s="9" t="inlineStr">
        <is>
          <t>Partner</t>
        </is>
      </c>
      <c r="S380" s="9" t="inlineStr">
        <is>
          <t>Morgan Reyes</t>
        </is>
      </c>
      <c r="T380" s="9" t="inlineStr">
        <is>
          <t>Shipped</t>
        </is>
      </c>
      <c r="U380" s="10" t="n">
        <v>403</v>
      </c>
      <c r="V380" s="9" t="inlineStr">
        <is>
          <t>Renewal</t>
        </is>
      </c>
    </row>
    <row r="381">
      <c r="A381" s="7" t="inlineStr">
        <is>
          <t>AP-32789</t>
        </is>
      </c>
      <c r="B381" s="23" t="n">
        <v>46247</v>
      </c>
      <c r="C381" s="7">
        <f>TEXT(B381,"yyyy-mm")</f>
        <v/>
      </c>
      <c r="D381" s="7" t="inlineStr">
        <is>
          <t>NLG-031</t>
        </is>
      </c>
      <c r="E381" s="9" t="inlineStr">
        <is>
          <t>Northlight Group</t>
        </is>
      </c>
      <c r="F381" s="9" t="inlineStr">
        <is>
          <t>Gulf Coast</t>
        </is>
      </c>
      <c r="G381" s="9" t="inlineStr">
        <is>
          <t>Sarasota</t>
        </is>
      </c>
      <c r="H381" s="9" t="inlineStr">
        <is>
          <t>Calibration service</t>
        </is>
      </c>
      <c r="I381" s="10" t="n">
        <v>6</v>
      </c>
      <c r="J381" s="16" t="n">
        <v>180</v>
      </c>
      <c r="K381" s="18" t="n">
        <v>0</v>
      </c>
      <c r="L381" s="16">
        <f>I381*J381</f>
        <v/>
      </c>
      <c r="M381" s="16">
        <f>ROUND(L381*(1-K381),2)</f>
        <v/>
      </c>
      <c r="N381" s="16" t="n">
        <v>99</v>
      </c>
      <c r="O381" s="16">
        <f>I381*N381</f>
        <v/>
      </c>
      <c r="P381" s="18">
        <f>IFERROR((M381-O381)/M381,0)</f>
        <v/>
      </c>
      <c r="Q381" s="16" t="n">
        <v>0</v>
      </c>
      <c r="R381" s="9" t="inlineStr">
        <is>
          <t>Partner</t>
        </is>
      </c>
      <c r="S381" s="9" t="inlineStr">
        <is>
          <t>Morgan Reyes</t>
        </is>
      </c>
      <c r="T381" s="9" t="inlineStr">
        <is>
          <t>Shipped</t>
        </is>
      </c>
      <c r="U381" s="10" t="n">
        <v>404</v>
      </c>
      <c r="V381" s="9" t="inlineStr"/>
    </row>
    <row r="382">
      <c r="A382" s="7" t="inlineStr">
        <is>
          <t>AP-32797</t>
        </is>
      </c>
      <c r="B382" s="23" t="n">
        <v>46292</v>
      </c>
      <c r="C382" s="7">
        <f>TEXT(B382,"yyyy-mm")</f>
        <v/>
      </c>
      <c r="D382" s="7" t="inlineStr">
        <is>
          <t>DIR-000</t>
        </is>
      </c>
      <c r="E382" s="9" t="inlineStr">
        <is>
          <t>Apex Instruments direct</t>
        </is>
      </c>
      <c r="F382" s="9" t="inlineStr">
        <is>
          <t>House</t>
        </is>
      </c>
      <c r="G382" s="9" t="inlineStr">
        <is>
          <t>Tampa</t>
        </is>
      </c>
      <c r="H382" s="9" t="inlineStr">
        <is>
          <t>Atlas Care Plus</t>
        </is>
      </c>
      <c r="I382" s="10" t="n">
        <v>9</v>
      </c>
      <c r="J382" s="16" t="n">
        <v>1788</v>
      </c>
      <c r="K382" s="18" t="n">
        <v>0.1</v>
      </c>
      <c r="L382" s="16">
        <f>I382*J382</f>
        <v/>
      </c>
      <c r="M382" s="16">
        <f>ROUND(L382*(1-K382),2)</f>
        <v/>
      </c>
      <c r="N382" s="16" t="n">
        <v>447</v>
      </c>
      <c r="O382" s="16">
        <f>I382*N382</f>
        <v/>
      </c>
      <c r="P382" s="18">
        <f>IFERROR((M382-O382)/M382,0)</f>
        <v/>
      </c>
      <c r="Q382" s="16" t="n">
        <v>0</v>
      </c>
      <c r="R382" s="9" t="inlineStr">
        <is>
          <t>Direct</t>
        </is>
      </c>
      <c r="S382" s="9" t="inlineStr">
        <is>
          <t>Avery Kellen</t>
        </is>
      </c>
      <c r="T382" s="9" t="inlineStr">
        <is>
          <t>Invoiced</t>
        </is>
      </c>
      <c r="U382" s="10" t="n">
        <v>405</v>
      </c>
      <c r="V382" s="9" t="inlineStr">
        <is>
          <t>Renewal</t>
        </is>
      </c>
    </row>
  </sheetData>
  <autoFilter ref="A1:V382"/>
  <pageMargins left="0.75" right="0.75" top="1" bottom="1" header="0.5" footer="0.5"/>
</worksheet>
</file>

<file path=xl/worksheets/sheet6.xml><?xml version="1.0" encoding="utf-8"?>
<worksheet xmlns="http://schemas.openxmlformats.org/spreadsheetml/2006/main">
  <sheetPr>
    <tabColor rgb="00FF6B1C"/>
    <outlinePr summaryBelow="1" summaryRight="1"/>
    <pageSetUpPr/>
  </sheetPr>
  <dimension ref="A1:J23"/>
  <sheetViews>
    <sheetView showGridLines="0" workbookViewId="0">
      <pane ySplit="4" topLeftCell="A5" activePane="bottomLeft" state="frozen"/>
      <selection pane="bottomLeft" activeCell="A1" sqref="A1"/>
    </sheetView>
  </sheetViews>
  <sheetFormatPr baseColWidth="8" defaultRowHeight="15"/>
  <cols>
    <col width="12" customWidth="1" min="1" max="1"/>
    <col width="8" customWidth="1" min="2" max="2"/>
    <col width="13" customWidth="1" min="3" max="3"/>
    <col width="18" customWidth="1" min="4" max="4"/>
    <col width="12" customWidth="1" min="5" max="5"/>
    <col width="22" customWidth="1" min="6" max="6"/>
    <col width="9" customWidth="1" min="7" max="7"/>
    <col width="16" customWidth="1" min="8" max="8"/>
    <col width="46" customWidth="1" min="9" max="9"/>
    <col width="30" customWidth="1" min="10" max="10"/>
  </cols>
  <sheetData>
    <row r="1" ht="27" customHeight="1">
      <c r="A1" s="1" t="inlineStr">
        <is>
          <t>Rows held back</t>
        </is>
      </c>
    </row>
    <row r="2">
      <c r="A2" s="11" t="inlineStr">
        <is>
          <t>19 of the 400 rows in the source file were not imported. None were deleted. Every one is listed here with the line it came from, so it can be fixed at the source and re-run.</t>
        </is>
      </c>
    </row>
    <row r="4" ht="20" customHeight="1">
      <c r="A4" s="6" t="inlineStr">
        <is>
          <t>Source line</t>
        </is>
      </c>
      <c r="B4" s="5" t="inlineStr">
        <is>
          <t>Code</t>
        </is>
      </c>
      <c r="C4" s="5" t="inlineStr">
        <is>
          <t>Order id</t>
        </is>
      </c>
      <c r="D4" s="5" t="inlineStr">
        <is>
          <t>Order date</t>
        </is>
      </c>
      <c r="E4" s="5" t="inlineStr">
        <is>
          <t>Partner id</t>
        </is>
      </c>
      <c r="F4" s="5" t="inlineStr">
        <is>
          <t>Product</t>
        </is>
      </c>
      <c r="G4" s="6" t="inlineStr">
        <is>
          <t>Qty</t>
        </is>
      </c>
      <c r="H4" s="5" t="inlineStr">
        <is>
          <t>Unit price</t>
        </is>
      </c>
      <c r="I4" s="5" t="inlineStr">
        <is>
          <t>Why it was held back</t>
        </is>
      </c>
      <c r="J4" s="5" t="inlineStr">
        <is>
          <t>What was read</t>
        </is>
      </c>
    </row>
    <row r="5" ht="28" customHeight="1">
      <c r="A5" s="10" t="n">
        <v>43</v>
      </c>
      <c r="B5" s="7" t="inlineStr">
        <is>
          <t>X2</t>
        </is>
      </c>
      <c r="C5" s="7" t="inlineStr">
        <is>
          <t>AP-30261</t>
        </is>
      </c>
      <c r="D5" s="9" t="inlineStr">
        <is>
          <t>07/12/2026</t>
        </is>
      </c>
      <c r="E5" s="7" t="inlineStr">
        <is>
          <t>NLG-027</t>
        </is>
      </c>
      <c r="F5" s="9" t="inlineStr">
        <is>
          <t>(empty)</t>
        </is>
      </c>
      <c r="G5" s="9" t="inlineStr">
        <is>
          <t>2</t>
        </is>
      </c>
      <c r="H5" s="9" t="inlineStr">
        <is>
          <t>$4,850.00</t>
        </is>
      </c>
      <c r="I5" s="8" t="inlineStr">
        <is>
          <t>A required field is empty: order id, order date, product or quantity.</t>
        </is>
      </c>
      <c r="J5" s="8" t="inlineStr">
        <is>
          <t>empty: product</t>
        </is>
      </c>
    </row>
    <row r="6" ht="28" customHeight="1">
      <c r="A6" s="10" t="n">
        <v>51</v>
      </c>
      <c r="B6" s="7" t="inlineStr">
        <is>
          <t>X6</t>
        </is>
      </c>
      <c r="C6" s="7" t="inlineStr">
        <is>
          <t>AP-30317</t>
        </is>
      </c>
      <c r="D6" s="9" t="inlineStr">
        <is>
          <t>2026-07-05</t>
        </is>
      </c>
      <c r="E6" s="7" t="inlineStr">
        <is>
          <t>NLG-099</t>
        </is>
      </c>
      <c r="F6" s="9" t="inlineStr">
        <is>
          <t>Calibration</t>
        </is>
      </c>
      <c r="G6" s="9" t="inlineStr">
        <is>
          <t>5.0</t>
        </is>
      </c>
      <c r="H6" s="9" t="inlineStr">
        <is>
          <t>180.00</t>
        </is>
      </c>
      <c r="I6" s="8" t="inlineStr">
        <is>
          <t>The partner id is not in the partner list.</t>
        </is>
      </c>
      <c r="J6" s="8" t="inlineStr">
        <is>
          <t>id read: NLG-099</t>
        </is>
      </c>
    </row>
    <row r="7" ht="28" customHeight="1">
      <c r="A7" s="10" t="n">
        <v>70</v>
      </c>
      <c r="B7" s="7" t="inlineStr">
        <is>
          <t>X3</t>
        </is>
      </c>
      <c r="C7" s="7" t="inlineStr">
        <is>
          <t>AP-30448</t>
        </is>
      </c>
      <c r="D7" s="9" t="inlineStr">
        <is>
          <t>2026-09-22</t>
        </is>
      </c>
      <c r="E7" s="7" t="inlineStr">
        <is>
          <t>NLG-031</t>
        </is>
      </c>
      <c r="F7" s="9" t="inlineStr">
        <is>
          <t>calibration svc</t>
        </is>
      </c>
      <c r="G7" s="9" t="inlineStr">
        <is>
          <t>-2</t>
        </is>
      </c>
      <c r="H7" s="9" t="inlineStr">
        <is>
          <t>$180.00</t>
        </is>
      </c>
      <c r="I7" s="8" t="inlineStr">
        <is>
          <t>Quantity is zero or negative. A return needs a credit note, not an order row.</t>
        </is>
      </c>
      <c r="J7" s="8" t="inlineStr">
        <is>
          <t>quantity read: -2</t>
        </is>
      </c>
    </row>
    <row r="8" ht="28" customHeight="1">
      <c r="A8" s="10" t="n">
        <v>89</v>
      </c>
      <c r="B8" s="7" t="inlineStr">
        <is>
          <t>X4</t>
        </is>
      </c>
      <c r="C8" s="7" t="inlineStr">
        <is>
          <t>AP-30584</t>
        </is>
      </c>
      <c r="D8" s="9" t="inlineStr">
        <is>
          <t>Q3</t>
        </is>
      </c>
      <c r="E8" s="7" t="inlineStr">
        <is>
          <t xml:space="preserve"> NLG-022</t>
        </is>
      </c>
      <c r="F8" s="9" t="inlineStr">
        <is>
          <t>atlas care plus</t>
        </is>
      </c>
      <c r="G8" s="9" t="inlineStr">
        <is>
          <t>2</t>
        </is>
      </c>
      <c r="H8" s="9" t="inlineStr">
        <is>
          <t>$1,788.00</t>
        </is>
      </c>
      <c r="I8" s="8" t="inlineStr">
        <is>
          <t>The order date could not be read as a date in any known format.</t>
        </is>
      </c>
      <c r="J8" s="8" t="inlineStr">
        <is>
          <t>value read: Q3</t>
        </is>
      </c>
    </row>
    <row r="9" ht="28" customHeight="1">
      <c r="A9" s="10" t="n">
        <v>102</v>
      </c>
      <c r="B9" s="7" t="inlineStr">
        <is>
          <t>X2</t>
        </is>
      </c>
      <c r="C9" s="7" t="inlineStr">
        <is>
          <t>AP-30676</t>
        </is>
      </c>
      <c r="D9" s="9" t="inlineStr">
        <is>
          <t>2026-09-22</t>
        </is>
      </c>
      <c r="E9" s="7" t="inlineStr">
        <is>
          <t>NLG-011</t>
        </is>
      </c>
      <c r="F9" s="9" t="inlineStr">
        <is>
          <t>(empty)</t>
        </is>
      </c>
      <c r="G9" s="9" t="inlineStr">
        <is>
          <t>5</t>
        </is>
      </c>
      <c r="H9" s="9" t="inlineStr">
        <is>
          <t>$180.00</t>
        </is>
      </c>
      <c r="I9" s="8" t="inlineStr">
        <is>
          <t>A required field is empty: order id, order date, product or quantity.</t>
        </is>
      </c>
      <c r="J9" s="8" t="inlineStr">
        <is>
          <t>empty: product</t>
        </is>
      </c>
    </row>
    <row r="10" ht="28" customHeight="1">
      <c r="A10" s="10" t="n">
        <v>135</v>
      </c>
      <c r="B10" s="7" t="inlineStr">
        <is>
          <t>X5</t>
        </is>
      </c>
      <c r="C10" s="7" t="inlineStr">
        <is>
          <t>AP-30906</t>
        </is>
      </c>
      <c r="D10" s="9" t="inlineStr">
        <is>
          <t>07/13/2026</t>
        </is>
      </c>
      <c r="E10" s="7" t="inlineStr">
        <is>
          <t>NLG-036</t>
        </is>
      </c>
      <c r="F10" s="9" t="inlineStr">
        <is>
          <t>Meridian Ultra</t>
        </is>
      </c>
      <c r="G10" s="9" t="inlineStr">
        <is>
          <t>5</t>
        </is>
      </c>
      <c r="H10" s="9" t="inlineStr">
        <is>
          <t>180.00</t>
        </is>
      </c>
      <c r="I10" s="8" t="inlineStr">
        <is>
          <t>The product is not in the Apex catalog.</t>
        </is>
      </c>
      <c r="J10" s="8" t="inlineStr">
        <is>
          <t>name read: Meridian Ultra</t>
        </is>
      </c>
    </row>
    <row r="11" ht="28" customHeight="1">
      <c r="A11" s="10" t="n">
        <v>147</v>
      </c>
      <c r="B11" s="7" t="inlineStr">
        <is>
          <t>X1</t>
        </is>
      </c>
      <c r="C11" s="7" t="inlineStr">
        <is>
          <t>AP-30086</t>
        </is>
      </c>
      <c r="D11" s="9" t="inlineStr">
        <is>
          <t>2026-07-11</t>
        </is>
      </c>
      <c r="E11" s="7" t="inlineStr">
        <is>
          <t>NLG-031</t>
        </is>
      </c>
      <c r="F11" s="9" t="inlineStr">
        <is>
          <t>calibration svc</t>
        </is>
      </c>
      <c r="G11" s="9" t="inlineStr">
        <is>
          <t>2</t>
        </is>
      </c>
      <c r="H11" s="9" t="inlineStr">
        <is>
          <t>180</t>
        </is>
      </c>
      <c r="I11" s="8" t="inlineStr">
        <is>
          <t>Duplicate order id. The first row with this id was imported, this one was not.</t>
        </is>
      </c>
      <c r="J11" s="8" t="inlineStr">
        <is>
          <t>first seen on line 18</t>
        </is>
      </c>
    </row>
    <row r="12" ht="28" customHeight="1">
      <c r="A12" s="10" t="n">
        <v>164</v>
      </c>
      <c r="B12" s="7" t="inlineStr">
        <is>
          <t>X7</t>
        </is>
      </c>
      <c r="C12" s="7" t="inlineStr">
        <is>
          <t>AP-31108</t>
        </is>
      </c>
      <c r="D12" s="9" t="inlineStr">
        <is>
          <t>09/19/2026</t>
        </is>
      </c>
      <c r="E12" s="7" t="inlineStr">
        <is>
          <t>DIR-000</t>
        </is>
      </c>
      <c r="F12" s="9" t="inlineStr">
        <is>
          <t>Atlas Care Plus</t>
        </is>
      </c>
      <c r="G12" s="9" t="inlineStr">
        <is>
          <t>two</t>
        </is>
      </c>
      <c r="H12" s="9" t="inlineStr">
        <is>
          <t>(empty)</t>
        </is>
      </c>
      <c r="I12" s="8" t="inlineStr">
        <is>
          <t>Quantity or unit price is not a number.</t>
        </is>
      </c>
      <c r="J12" s="8" t="inlineStr">
        <is>
          <t>quantity read: two</t>
        </is>
      </c>
    </row>
    <row r="13" ht="28" customHeight="1">
      <c r="A13" s="10" t="n">
        <v>180</v>
      </c>
      <c r="B13" s="7" t="inlineStr">
        <is>
          <t>X2</t>
        </is>
      </c>
      <c r="C13" s="7" t="inlineStr">
        <is>
          <t>AP-31219</t>
        </is>
      </c>
      <c r="D13" s="9" t="inlineStr">
        <is>
          <t>August 20, 2026</t>
        </is>
      </c>
      <c r="E13" s="7" t="inlineStr">
        <is>
          <t>NLG-022</t>
        </is>
      </c>
      <c r="F13" s="9" t="inlineStr">
        <is>
          <t>atlas care plus</t>
        </is>
      </c>
      <c r="G13" s="9" t="inlineStr">
        <is>
          <t>(empty)</t>
        </is>
      </c>
      <c r="H13" s="9" t="inlineStr">
        <is>
          <t>$1,788.00</t>
        </is>
      </c>
      <c r="I13" s="8" t="inlineStr">
        <is>
          <t>A required field is empty: order id, order date, product or quantity.</t>
        </is>
      </c>
      <c r="J13" s="8" t="inlineStr">
        <is>
          <t>empty: qty</t>
        </is>
      </c>
    </row>
    <row r="14" ht="28" customHeight="1">
      <c r="A14" s="10" t="n">
        <v>196</v>
      </c>
      <c r="B14" s="7" t="inlineStr">
        <is>
          <t>X6</t>
        </is>
      </c>
      <c r="C14" s="7" t="inlineStr">
        <is>
          <t>AP-31330</t>
        </is>
      </c>
      <c r="D14" s="9" t="inlineStr">
        <is>
          <t>8/21/26</t>
        </is>
      </c>
      <c r="E14" s="7" t="inlineStr">
        <is>
          <t>XX-001</t>
        </is>
      </c>
      <c r="F14" s="9" t="inlineStr">
        <is>
          <t>meridian pro</t>
        </is>
      </c>
      <c r="G14" s="9" t="inlineStr">
        <is>
          <t>1.0</t>
        </is>
      </c>
      <c r="H14" s="9" t="inlineStr">
        <is>
          <t>7,900.00</t>
        </is>
      </c>
      <c r="I14" s="8" t="inlineStr">
        <is>
          <t>The partner id is not in the partner list.</t>
        </is>
      </c>
      <c r="J14" s="8" t="inlineStr">
        <is>
          <t>id read: XX-001</t>
        </is>
      </c>
    </row>
    <row r="15" ht="28" customHeight="1">
      <c r="A15" s="10" t="n">
        <v>217</v>
      </c>
      <c r="B15" s="7" t="inlineStr">
        <is>
          <t>X4</t>
        </is>
      </c>
      <c r="C15" s="7" t="inlineStr">
        <is>
          <t>AP-31480</t>
        </is>
      </c>
      <c r="D15" s="9" t="inlineStr">
        <is>
          <t>2026-13-45</t>
        </is>
      </c>
      <c r="E15" s="7" t="inlineStr">
        <is>
          <t>NLG-022</t>
        </is>
      </c>
      <c r="F15" s="9" t="inlineStr">
        <is>
          <t>Meridian Field Kit</t>
        </is>
      </c>
      <c r="G15" s="9" t="inlineStr">
        <is>
          <t>7</t>
        </is>
      </c>
      <c r="H15" s="9" t="inlineStr">
        <is>
          <t>1240</t>
        </is>
      </c>
      <c r="I15" s="8" t="inlineStr">
        <is>
          <t>The order date could not be read as a date in any known format.</t>
        </is>
      </c>
      <c r="J15" s="8" t="inlineStr">
        <is>
          <t>value read: 2026-13-45</t>
        </is>
      </c>
    </row>
    <row r="16" ht="28" customHeight="1">
      <c r="A16" s="10" t="n">
        <v>239</v>
      </c>
      <c r="B16" s="7" t="inlineStr">
        <is>
          <t>X1</t>
        </is>
      </c>
      <c r="C16" s="7" t="inlineStr">
        <is>
          <t>AP-30410</t>
        </is>
      </c>
      <c r="D16" s="9" t="inlineStr">
        <is>
          <t>20-Sep-2026</t>
        </is>
      </c>
      <c r="E16" s="7" t="inlineStr">
        <is>
          <t>NLG-011</t>
        </is>
      </c>
      <c r="F16" s="9" t="inlineStr">
        <is>
          <t>Meridian Bench</t>
        </is>
      </c>
      <c r="G16" s="9" t="inlineStr">
        <is>
          <t>1</t>
        </is>
      </c>
      <c r="H16" s="9" t="inlineStr">
        <is>
          <t>4850.00</t>
        </is>
      </c>
      <c r="I16" s="8" t="inlineStr">
        <is>
          <t>Duplicate order id. The first row with this id was imported, this one was not.</t>
        </is>
      </c>
      <c r="J16" s="8" t="inlineStr">
        <is>
          <t>first seen on line 64</t>
        </is>
      </c>
    </row>
    <row r="17" ht="28" customHeight="1">
      <c r="A17" s="10" t="n">
        <v>272</v>
      </c>
      <c r="B17" s="7" t="inlineStr">
        <is>
          <t>X2</t>
        </is>
      </c>
      <c r="C17" s="7" t="inlineStr">
        <is>
          <t>AP-31865</t>
        </is>
      </c>
      <c r="D17" s="9" t="inlineStr">
        <is>
          <t>(empty)</t>
        </is>
      </c>
      <c r="E17" s="7" t="inlineStr">
        <is>
          <t>NLG-031</t>
        </is>
      </c>
      <c r="F17" s="9" t="inlineStr">
        <is>
          <t>Meridian Field Kit</t>
        </is>
      </c>
      <c r="G17" s="9" t="inlineStr">
        <is>
          <t>5</t>
        </is>
      </c>
      <c r="H17" s="9" t="inlineStr">
        <is>
          <t>$1,240.00</t>
        </is>
      </c>
      <c r="I17" s="8" t="inlineStr">
        <is>
          <t>A required field is empty: order id, order date, product or quantity.</t>
        </is>
      </c>
      <c r="J17" s="8" t="inlineStr">
        <is>
          <t>empty: order_date</t>
        </is>
      </c>
    </row>
    <row r="18" ht="28" customHeight="1">
      <c r="A18" s="10" t="n">
        <v>278</v>
      </c>
      <c r="B18" s="7" t="inlineStr">
        <is>
          <t>X7</t>
        </is>
      </c>
      <c r="C18" s="7" t="inlineStr">
        <is>
          <t>AP-31906</t>
        </is>
      </c>
      <c r="D18" s="9" t="inlineStr">
        <is>
          <t>09/21/2026</t>
        </is>
      </c>
      <c r="E18" s="7" t="inlineStr">
        <is>
          <t>NLG-014</t>
        </is>
      </c>
      <c r="F18" s="9" t="inlineStr">
        <is>
          <t>Atlas Care Plus</t>
        </is>
      </c>
      <c r="G18" s="9" t="inlineStr">
        <is>
          <t>5</t>
        </is>
      </c>
      <c r="H18" s="9" t="inlineStr">
        <is>
          <t>call for price</t>
        </is>
      </c>
      <c r="I18" s="8" t="inlineStr">
        <is>
          <t>Quantity or unit price is not a number.</t>
        </is>
      </c>
      <c r="J18" s="8" t="inlineStr">
        <is>
          <t>unit price read: call for price</t>
        </is>
      </c>
    </row>
    <row r="19" ht="28" customHeight="1">
      <c r="A19" s="10" t="n">
        <v>294</v>
      </c>
      <c r="B19" s="7" t="inlineStr">
        <is>
          <t>X3</t>
        </is>
      </c>
      <c r="C19" s="7" t="inlineStr">
        <is>
          <t>AP-32019</t>
        </is>
      </c>
      <c r="D19" s="9" t="inlineStr">
        <is>
          <t>25-Aug-2026</t>
        </is>
      </c>
      <c r="E19" s="7" t="inlineStr">
        <is>
          <t>NLG-044</t>
        </is>
      </c>
      <c r="F19" s="9" t="inlineStr">
        <is>
          <t>Atlas Care Plus</t>
        </is>
      </c>
      <c r="G19" s="9" t="inlineStr">
        <is>
          <t>-1</t>
        </is>
      </c>
      <c r="H19" s="9" t="inlineStr">
        <is>
          <t>$1,788</t>
        </is>
      </c>
      <c r="I19" s="8" t="inlineStr">
        <is>
          <t>Quantity is zero or negative. A return needs a credit note, not an order row.</t>
        </is>
      </c>
      <c r="J19" s="8" t="inlineStr">
        <is>
          <t>quantity read: -1</t>
        </is>
      </c>
    </row>
    <row r="20" ht="28" customHeight="1">
      <c r="A20" s="10" t="n">
        <v>310</v>
      </c>
      <c r="B20" s="7" t="inlineStr">
        <is>
          <t>X5</t>
        </is>
      </c>
      <c r="C20" s="7" t="inlineStr">
        <is>
          <t>AP-32132</t>
        </is>
      </c>
      <c r="D20" s="9" t="inlineStr">
        <is>
          <t>2026-08-22</t>
        </is>
      </c>
      <c r="E20" s="7" t="inlineStr">
        <is>
          <t xml:space="preserve"> NLG-014</t>
        </is>
      </c>
      <c r="F20" s="9" t="inlineStr">
        <is>
          <t>Bench Riser Kit</t>
        </is>
      </c>
      <c r="G20" s="9" t="inlineStr">
        <is>
          <t>12</t>
        </is>
      </c>
      <c r="H20" s="9" t="inlineStr">
        <is>
          <t>(empty)</t>
        </is>
      </c>
      <c r="I20" s="8" t="inlineStr">
        <is>
          <t>The product is not in the Apex catalog.</t>
        </is>
      </c>
      <c r="J20" s="8" t="inlineStr">
        <is>
          <t>name read: Bench Riser Kit</t>
        </is>
      </c>
    </row>
    <row r="21" ht="28" customHeight="1">
      <c r="A21" s="10" t="n">
        <v>324</v>
      </c>
      <c r="B21" s="7" t="inlineStr">
        <is>
          <t>X1</t>
        </is>
      </c>
      <c r="C21" s="7" t="inlineStr">
        <is>
          <t>AP-30702</t>
        </is>
      </c>
      <c r="D21" s="9" t="inlineStr">
        <is>
          <t>July 4, 2026</t>
        </is>
      </c>
      <c r="E21" s="7" t="inlineStr">
        <is>
          <t>NLG-031</t>
        </is>
      </c>
      <c r="F21" s="9" t="inlineStr">
        <is>
          <t>calibration svc</t>
        </is>
      </c>
      <c r="G21" s="9" t="inlineStr">
        <is>
          <t>1</t>
        </is>
      </c>
      <c r="H21" s="9" t="inlineStr">
        <is>
          <t>$180</t>
        </is>
      </c>
      <c r="I21" s="8" t="inlineStr">
        <is>
          <t>Duplicate order id. The first row with this id was imported, this one was not.</t>
        </is>
      </c>
      <c r="J21" s="8" t="inlineStr">
        <is>
          <t>first seen on line 106</t>
        </is>
      </c>
    </row>
    <row r="22" ht="28" customHeight="1">
      <c r="A22" s="10" t="n">
        <v>355</v>
      </c>
      <c r="B22" s="7" t="inlineStr">
        <is>
          <t>X2</t>
        </is>
      </c>
      <c r="C22" s="7" t="inlineStr">
        <is>
          <t>(empty)</t>
        </is>
      </c>
      <c r="D22" s="9" t="inlineStr">
        <is>
          <t>2026-09-22</t>
        </is>
      </c>
      <c r="E22" s="7" t="inlineStr">
        <is>
          <t>NLG-036</t>
        </is>
      </c>
      <c r="F22" s="9" t="inlineStr">
        <is>
          <t>Meridian Pro</t>
        </is>
      </c>
      <c r="G22" s="9" t="inlineStr">
        <is>
          <t>1</t>
        </is>
      </c>
      <c r="H22" s="9" t="inlineStr">
        <is>
          <t>7900</t>
        </is>
      </c>
      <c r="I22" s="8" t="inlineStr">
        <is>
          <t>A required field is empty: order id, order date, product or quantity.</t>
        </is>
      </c>
      <c r="J22" s="8" t="inlineStr">
        <is>
          <t>empty: order_id</t>
        </is>
      </c>
    </row>
    <row r="23" ht="28" customHeight="1">
      <c r="A23" s="10" t="n">
        <v>361</v>
      </c>
      <c r="B23" s="7" t="inlineStr">
        <is>
          <t>X6</t>
        </is>
      </c>
      <c r="C23" s="7" t="inlineStr">
        <is>
          <t>AP-32485</t>
        </is>
      </c>
      <c r="D23" s="9" t="inlineStr">
        <is>
          <t>07/22/2026</t>
        </is>
      </c>
      <c r="E23" s="7" t="inlineStr">
        <is>
          <t>NLG-052</t>
        </is>
      </c>
      <c r="F23" s="9" t="inlineStr">
        <is>
          <t>Calibration</t>
        </is>
      </c>
      <c r="G23" s="9" t="inlineStr">
        <is>
          <t>2</t>
        </is>
      </c>
      <c r="H23" s="9" t="inlineStr">
        <is>
          <t>180</t>
        </is>
      </c>
      <c r="I23" s="8" t="inlineStr">
        <is>
          <t>The partner id is not in the partner list.</t>
        </is>
      </c>
      <c r="J23" s="8" t="inlineStr">
        <is>
          <t>id read: NLG-052</t>
        </is>
      </c>
    </row>
  </sheetData>
  <autoFilter ref="A4:J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Company OS spreadsheet system</dc:creator>
  <dc:title xmlns:dc="http://purl.org/dc/elements/1.1/">Apex Instruments Q3 2026 order book</dc:title>
  <dc:description xmlns:dc="http://purl.org/dc/elements/1.1/">Demo data. Apex Instruments is fictional.</dc:description>
  <dcterms:created xmlns:dcterms="http://purl.org/dc/terms/" xmlns:xsi="http://www.w3.org/2001/XMLSchema-instance" xsi:type="dcterms:W3CDTF">2026-09-08T23:13:07Z</dcterms:created>
  <dcterms:modified xmlns:dcterms="http://purl.org/dc/terms/" xmlns:xsi="http://www.w3.org/2001/XMLSchema-instance" xsi:type="dcterms:W3CDTF">2026-09-08T23:13:07Z</dcterms:modified>
</cp:coreProperties>
</file>